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ЕКОНОМІСТ\ФінПлан\Звіт\"/>
    </mc:Choice>
  </mc:AlternateContent>
  <bookViews>
    <workbookView xWindow="0" yWindow="0" windowWidth="23040" windowHeight="8616" tabRatio="639"/>
  </bookViews>
  <sheets>
    <sheet name="Додаток 1 (форма плану)" sheetId="1" r:id="rId1"/>
    <sheet name="Аркуш1" sheetId="9" r:id="rId2"/>
    <sheet name="розрахунок доходів від НСЗУ " sheetId="8" state="hidden" r:id="rId3"/>
    <sheet name="Дані про персонал та зп" sheetId="2" state="hidden" r:id="rId4"/>
    <sheet name="фін звіт" sheetId="6" state="hidden" r:id="rId5"/>
    <sheet name="МТО" sheetId="4" state="hidden" r:id="rId6"/>
  </sheets>
  <definedNames>
    <definedName name="_xlnm.Print_Area" localSheetId="0">'Додаток 1 (форма плану)'!$A$1:$F$84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M54" i="1" l="1"/>
  <c r="B54" i="1" s="1"/>
  <c r="B49" i="1"/>
  <c r="B50" i="1"/>
  <c r="B51" i="1"/>
  <c r="B52" i="1"/>
  <c r="B53" i="1"/>
  <c r="B55" i="1"/>
  <c r="B56" i="1"/>
  <c r="B57" i="1"/>
  <c r="B58" i="1"/>
  <c r="B59" i="1"/>
  <c r="B60" i="1"/>
  <c r="B61" i="1"/>
  <c r="B62" i="1"/>
  <c r="B48" i="1"/>
  <c r="B71" i="1"/>
  <c r="B65" i="1"/>
  <c r="B66" i="1"/>
  <c r="B64" i="1"/>
  <c r="B63" i="1"/>
  <c r="M64" i="1"/>
  <c r="M63" i="1" s="1"/>
  <c r="D64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32" i="1"/>
  <c r="M39" i="1"/>
  <c r="M31" i="1"/>
  <c r="B31" i="1" s="1"/>
  <c r="M47" i="1" l="1"/>
  <c r="B47" i="1" s="1"/>
  <c r="M67" i="1"/>
  <c r="B67" i="1" s="1"/>
  <c r="B69" i="1" s="1"/>
  <c r="B18" i="1"/>
  <c r="B19" i="1"/>
  <c r="B21" i="1"/>
  <c r="B22" i="1"/>
  <c r="B23" i="1"/>
  <c r="B24" i="1"/>
  <c r="B25" i="1"/>
  <c r="B26" i="1"/>
  <c r="B27" i="1"/>
  <c r="B28" i="1"/>
  <c r="B17" i="1"/>
  <c r="M26" i="1"/>
  <c r="M20" i="1"/>
  <c r="B20" i="1" s="1"/>
  <c r="M17" i="1"/>
  <c r="M29" i="1" l="1"/>
  <c r="B29" i="1" s="1"/>
  <c r="L39" i="1"/>
  <c r="L31" i="1" s="1"/>
  <c r="L64" i="1"/>
  <c r="L63" i="1" s="1"/>
  <c r="L54" i="1"/>
  <c r="L47" i="1" s="1"/>
  <c r="L67" i="1" l="1"/>
  <c r="L26" i="1" l="1"/>
  <c r="L20" i="1"/>
  <c r="L17" i="1"/>
  <c r="L29" i="1" l="1"/>
  <c r="K58" i="1"/>
  <c r="K54" i="1"/>
  <c r="K47" i="1" s="1"/>
  <c r="K64" i="1"/>
  <c r="K63" i="1" s="1"/>
  <c r="K39" i="1"/>
  <c r="K31" i="1"/>
  <c r="L69" i="1" l="1"/>
  <c r="K67" i="1"/>
  <c r="K26" i="1" l="1"/>
  <c r="K20" i="1"/>
  <c r="K17" i="1"/>
  <c r="K29" i="1" s="1"/>
  <c r="K69" i="1" s="1"/>
  <c r="J63" i="1"/>
  <c r="J64" i="1"/>
  <c r="J54" i="1"/>
  <c r="J51" i="1"/>
  <c r="J39" i="1"/>
  <c r="J26" i="1"/>
  <c r="J20" i="1"/>
  <c r="J17" i="1"/>
  <c r="J29" i="1" l="1"/>
  <c r="J47" i="1"/>
  <c r="J31" i="1"/>
  <c r="J67" i="1" l="1"/>
  <c r="D54" i="1"/>
  <c r="D47" i="1" s="1"/>
  <c r="J69" i="1" l="1"/>
  <c r="E34" i="1"/>
  <c r="F34" i="1"/>
  <c r="F66" i="1"/>
  <c r="F65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48" i="1"/>
  <c r="F33" i="1"/>
  <c r="F35" i="1"/>
  <c r="F36" i="1"/>
  <c r="F37" i="1"/>
  <c r="F38" i="1"/>
  <c r="F45" i="1"/>
  <c r="F32" i="1"/>
  <c r="F21" i="1"/>
  <c r="F22" i="1"/>
  <c r="F23" i="1"/>
  <c r="F24" i="1"/>
  <c r="F25" i="1"/>
  <c r="F27" i="1"/>
  <c r="F28" i="1"/>
  <c r="F19" i="1"/>
  <c r="F18" i="1"/>
  <c r="E22" i="1" l="1"/>
  <c r="E23" i="1"/>
  <c r="E24" i="1"/>
  <c r="E25" i="1"/>
  <c r="E19" i="1" l="1"/>
  <c r="E66" i="1"/>
  <c r="E65" i="1"/>
  <c r="E56" i="1"/>
  <c r="E57" i="1"/>
  <c r="E58" i="1"/>
  <c r="E59" i="1"/>
  <c r="E60" i="1"/>
  <c r="E61" i="1"/>
  <c r="E62" i="1"/>
  <c r="E55" i="1"/>
  <c r="E49" i="1"/>
  <c r="E50" i="1"/>
  <c r="E51" i="1"/>
  <c r="E52" i="1"/>
  <c r="E53" i="1"/>
  <c r="E48" i="1"/>
  <c r="E41" i="1"/>
  <c r="E42" i="1"/>
  <c r="E43" i="1"/>
  <c r="E44" i="1"/>
  <c r="E45" i="1"/>
  <c r="E46" i="1"/>
  <c r="E40" i="1"/>
  <c r="E33" i="1"/>
  <c r="E35" i="1"/>
  <c r="E36" i="1"/>
  <c r="E37" i="1"/>
  <c r="E38" i="1"/>
  <c r="E32" i="1"/>
  <c r="E28" i="1"/>
  <c r="E27" i="1"/>
  <c r="E21" i="1"/>
  <c r="E18" i="1"/>
  <c r="C39" i="1"/>
  <c r="C31" i="1" s="1"/>
  <c r="C17" i="1"/>
  <c r="D39" i="1" l="1"/>
  <c r="E39" i="1"/>
  <c r="D31" i="1" l="1"/>
  <c r="C54" i="1"/>
  <c r="E54" i="1"/>
  <c r="E47" i="1" s="1"/>
  <c r="E31" i="1"/>
  <c r="C64" i="1"/>
  <c r="E64" i="1"/>
  <c r="E63" i="1" s="1"/>
  <c r="C26" i="1"/>
  <c r="D26" i="1"/>
  <c r="E26" i="1"/>
  <c r="C20" i="1"/>
  <c r="E20" i="1"/>
  <c r="D17" i="1"/>
  <c r="D29" i="1" l="1"/>
  <c r="F26" i="1"/>
  <c r="F20" i="1"/>
  <c r="F17" i="1"/>
  <c r="E17" i="1"/>
  <c r="E29" i="1" s="1"/>
  <c r="D63" i="1"/>
  <c r="F64" i="1"/>
  <c r="F54" i="1"/>
  <c r="C29" i="1"/>
  <c r="F31" i="1"/>
  <c r="C47" i="1"/>
  <c r="C63" i="1"/>
  <c r="E67" i="1"/>
  <c r="F63" i="1" l="1"/>
  <c r="F29" i="1"/>
  <c r="D67" i="1"/>
  <c r="D69" i="1" s="1"/>
  <c r="F47" i="1"/>
  <c r="C67" i="1"/>
  <c r="C69" i="1" s="1"/>
  <c r="E69" i="1"/>
  <c r="D22" i="4"/>
  <c r="D21" i="4"/>
  <c r="D20" i="4"/>
  <c r="D15" i="4"/>
  <c r="D14" i="4"/>
  <c r="D13" i="4"/>
  <c r="D12" i="4"/>
  <c r="D10" i="4"/>
  <c r="F67" i="1" l="1"/>
  <c r="F32" i="2"/>
  <c r="F33" i="2"/>
  <c r="F31" i="2"/>
  <c r="F30" i="2"/>
  <c r="F29" i="2"/>
  <c r="F69" i="1" l="1"/>
  <c r="D36" i="6"/>
  <c r="C106" i="6"/>
  <c r="C109" i="6"/>
  <c r="C52" i="6"/>
  <c r="C38" i="6"/>
  <c r="C39" i="6"/>
  <c r="C40" i="6"/>
  <c r="C41" i="6"/>
  <c r="C42" i="6"/>
  <c r="C44" i="6"/>
  <c r="C45" i="6"/>
  <c r="C46" i="6"/>
  <c r="C47" i="6"/>
  <c r="C58" i="6"/>
  <c r="C59" i="6"/>
  <c r="C63" i="6"/>
  <c r="C81" i="6"/>
  <c r="C86" i="6"/>
  <c r="C15" i="6"/>
  <c r="C17" i="6"/>
  <c r="C18" i="6"/>
  <c r="C20" i="6"/>
  <c r="C23" i="6"/>
  <c r="C24" i="6"/>
  <c r="C33" i="6"/>
  <c r="C34" i="6"/>
  <c r="L31" i="8"/>
  <c r="D26" i="6" l="1"/>
  <c r="D53" i="6"/>
  <c r="D55" i="6"/>
  <c r="D52" i="6"/>
  <c r="D57" i="6"/>
  <c r="D97" i="6"/>
  <c r="D34" i="6"/>
  <c r="D49" i="6" l="1"/>
  <c r="D86" i="6"/>
  <c r="D25" i="6"/>
  <c r="C104" i="6" l="1"/>
  <c r="C82" i="6" l="1"/>
  <c r="C90" i="6" l="1"/>
  <c r="C26" i="6"/>
  <c r="C60" i="6" l="1"/>
  <c r="C57" i="6"/>
  <c r="C55" i="6"/>
  <c r="C54" i="6"/>
  <c r="C53" i="6"/>
  <c r="C50" i="6"/>
  <c r="C25" i="6"/>
  <c r="C22" i="6"/>
  <c r="C21" i="6"/>
  <c r="L24" i="8"/>
  <c r="C32" i="6" l="1"/>
  <c r="J17" i="2"/>
  <c r="J16" i="2"/>
  <c r="J15" i="2"/>
  <c r="J14" i="2"/>
  <c r="G17" i="2"/>
  <c r="G16" i="2"/>
  <c r="G15" i="2"/>
  <c r="G14" i="2"/>
  <c r="J10" i="2"/>
  <c r="J9" i="2"/>
  <c r="J8" i="2"/>
  <c r="G10" i="2"/>
  <c r="G9" i="2"/>
  <c r="G8" i="2"/>
  <c r="G7" i="2"/>
  <c r="D81" i="6" l="1"/>
  <c r="D78" i="6" l="1"/>
  <c r="B6" i="2"/>
  <c r="C6" i="2"/>
  <c r="E6" i="2"/>
  <c r="F6" i="2"/>
  <c r="D7" i="2"/>
  <c r="H7" i="2"/>
  <c r="I7" i="2"/>
  <c r="D8" i="2"/>
  <c r="D9" i="2"/>
  <c r="D10" i="2"/>
  <c r="B13" i="2"/>
  <c r="C13" i="2"/>
  <c r="E13" i="2"/>
  <c r="D14" i="2"/>
  <c r="D15" i="2"/>
  <c r="D16" i="2"/>
  <c r="D17" i="2"/>
  <c r="B20" i="2"/>
  <c r="C20" i="2"/>
  <c r="E20" i="2"/>
  <c r="D21" i="2"/>
  <c r="G21" i="2"/>
  <c r="H21" i="2"/>
  <c r="I21" i="2"/>
  <c r="D22" i="2"/>
  <c r="H22" i="2"/>
  <c r="D23" i="2"/>
  <c r="G23" i="2"/>
  <c r="J23" i="2" s="1"/>
  <c r="H23" i="2"/>
  <c r="D24" i="2"/>
  <c r="G24" i="2"/>
  <c r="J24" i="2" s="1"/>
  <c r="H24" i="2"/>
  <c r="I24" i="2"/>
  <c r="D25" i="2"/>
  <c r="F25" i="2"/>
  <c r="G25" i="2" s="1"/>
  <c r="J25" i="2" s="1"/>
  <c r="H25" i="2"/>
  <c r="D26" i="2"/>
  <c r="G26" i="2"/>
  <c r="J26" i="2" s="1"/>
  <c r="H26" i="2"/>
  <c r="I26" i="2"/>
  <c r="I25" i="2" l="1"/>
  <c r="J7" i="2"/>
  <c r="J6" i="2" s="1"/>
  <c r="H20" i="2"/>
  <c r="H13" i="2"/>
  <c r="G6" i="2"/>
  <c r="H6" i="2"/>
  <c r="I23" i="2"/>
  <c r="F20" i="2"/>
  <c r="I6" i="2"/>
  <c r="D6" i="2"/>
  <c r="D13" i="2"/>
  <c r="D20" i="2"/>
  <c r="G13" i="2"/>
  <c r="J13" i="2"/>
  <c r="I22" i="2"/>
  <c r="I13" i="2"/>
  <c r="F13" i="2"/>
  <c r="J21" i="2"/>
  <c r="G22" i="2"/>
  <c r="J22" i="2" s="1"/>
  <c r="C36" i="6"/>
  <c r="C97" i="6"/>
  <c r="J20" i="2" l="1"/>
  <c r="I20" i="2"/>
  <c r="G20" i="2"/>
  <c r="C31" i="6" l="1"/>
  <c r="D112" i="6" l="1"/>
  <c r="D113" i="6" l="1"/>
  <c r="D109" i="6"/>
  <c r="D106" i="6"/>
  <c r="D104" i="6"/>
  <c r="E106" i="6" l="1"/>
  <c r="E104" i="6"/>
  <c r="E109" i="6"/>
  <c r="D19" i="6" l="1"/>
  <c r="J29" i="2" l="1"/>
  <c r="J30" i="2"/>
  <c r="J31" i="2"/>
  <c r="J32" i="2"/>
  <c r="J33" i="2"/>
  <c r="I29" i="2"/>
  <c r="I30" i="2"/>
  <c r="I31" i="2"/>
  <c r="I32" i="2"/>
  <c r="I33" i="2"/>
  <c r="H29" i="2"/>
  <c r="H30" i="2"/>
  <c r="H31" i="2"/>
  <c r="H32" i="2"/>
  <c r="H33" i="2"/>
  <c r="I28" i="2"/>
  <c r="J28" i="2"/>
  <c r="H28" i="2"/>
  <c r="C29" i="2" l="1"/>
  <c r="D19" i="4" l="1"/>
  <c r="D18" i="4"/>
  <c r="D54" i="4" l="1"/>
  <c r="C51" i="6" l="1"/>
  <c r="C108" i="6" l="1"/>
  <c r="D108" i="6" s="1"/>
  <c r="C94" i="6"/>
  <c r="C95" i="6"/>
  <c r="C96" i="6"/>
  <c r="C93" i="6"/>
  <c r="C80" i="6"/>
  <c r="C83" i="6"/>
  <c r="C84" i="6"/>
  <c r="C85" i="6"/>
  <c r="C87" i="6"/>
  <c r="C88" i="6"/>
  <c r="C89" i="6"/>
  <c r="C91" i="6"/>
  <c r="C79" i="6"/>
  <c r="C74" i="6"/>
  <c r="C75" i="6"/>
  <c r="C76" i="6"/>
  <c r="C73" i="6"/>
  <c r="C70" i="6"/>
  <c r="C71" i="6"/>
  <c r="C69" i="6"/>
  <c r="C64" i="6"/>
  <c r="C65" i="6"/>
  <c r="C66" i="6"/>
  <c r="C56" i="6"/>
  <c r="C61" i="6"/>
  <c r="C35" i="6"/>
  <c r="C37" i="6"/>
  <c r="E108" i="6" l="1"/>
  <c r="L8" i="8" l="1"/>
  <c r="L6" i="8"/>
  <c r="L5" i="8"/>
  <c r="L7" i="8"/>
  <c r="L4" i="8"/>
  <c r="G32" i="8" l="1"/>
  <c r="F32" i="8"/>
  <c r="E32" i="8"/>
  <c r="J32" i="8" s="1"/>
  <c r="G31" i="8"/>
  <c r="F31" i="8"/>
  <c r="E31" i="8"/>
  <c r="J31" i="8" s="1"/>
  <c r="G30" i="8"/>
  <c r="F30" i="8"/>
  <c r="E30" i="8"/>
  <c r="J30" i="8" s="1"/>
  <c r="G29" i="8"/>
  <c r="F29" i="8"/>
  <c r="E29" i="8"/>
  <c r="J29" i="8" s="1"/>
  <c r="G28" i="8"/>
  <c r="F28" i="8"/>
  <c r="E28" i="8"/>
  <c r="J28" i="8" s="1"/>
  <c r="G24" i="8"/>
  <c r="F24" i="8"/>
  <c r="E24" i="8"/>
  <c r="I24" i="8" s="1"/>
  <c r="G23" i="8"/>
  <c r="F23" i="8"/>
  <c r="E23" i="8"/>
  <c r="I23" i="8" s="1"/>
  <c r="G22" i="8"/>
  <c r="F22" i="8"/>
  <c r="E22" i="8"/>
  <c r="I22" i="8" s="1"/>
  <c r="G21" i="8"/>
  <c r="F21" i="8"/>
  <c r="E21" i="8"/>
  <c r="I21" i="8" s="1"/>
  <c r="G20" i="8"/>
  <c r="F20" i="8"/>
  <c r="E20" i="8"/>
  <c r="I20" i="8" s="1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8" i="8"/>
  <c r="F8" i="8"/>
  <c r="E8" i="8"/>
  <c r="I8" i="8" s="1"/>
  <c r="G7" i="8"/>
  <c r="F7" i="8"/>
  <c r="E7" i="8"/>
  <c r="I7" i="8" s="1"/>
  <c r="G6" i="8"/>
  <c r="F6" i="8"/>
  <c r="E6" i="8"/>
  <c r="I6" i="8" s="1"/>
  <c r="G5" i="8"/>
  <c r="F5" i="8"/>
  <c r="E5" i="8"/>
  <c r="I5" i="8" s="1"/>
  <c r="G4" i="8"/>
  <c r="F4" i="8"/>
  <c r="E4" i="8"/>
  <c r="I4" i="8" s="1"/>
  <c r="J4" i="8" l="1"/>
  <c r="J5" i="8"/>
  <c r="J6" i="8"/>
  <c r="J7" i="8"/>
  <c r="J8" i="8"/>
  <c r="J21" i="8"/>
  <c r="J23" i="8"/>
  <c r="H20" i="8"/>
  <c r="K21" i="8"/>
  <c r="H22" i="8"/>
  <c r="K23" i="8"/>
  <c r="H24" i="8"/>
  <c r="J20" i="8"/>
  <c r="J22" i="8"/>
  <c r="J24" i="8"/>
  <c r="K20" i="8"/>
  <c r="H21" i="8"/>
  <c r="S21" i="8" s="1"/>
  <c r="L38" i="8" s="1"/>
  <c r="K22" i="8"/>
  <c r="H23" i="8"/>
  <c r="S23" i="8" s="1"/>
  <c r="L40" i="8" s="1"/>
  <c r="K24" i="8"/>
  <c r="K28" i="8"/>
  <c r="K29" i="8"/>
  <c r="K30" i="8"/>
  <c r="K31" i="8"/>
  <c r="K32" i="8"/>
  <c r="I13" i="8"/>
  <c r="I16" i="8"/>
  <c r="K4" i="8"/>
  <c r="K5" i="8"/>
  <c r="K6" i="8"/>
  <c r="K7" i="8"/>
  <c r="K8" i="8"/>
  <c r="J12" i="8"/>
  <c r="J13" i="8"/>
  <c r="J14" i="8"/>
  <c r="J15" i="8"/>
  <c r="J16" i="8"/>
  <c r="H28" i="8"/>
  <c r="H29" i="8"/>
  <c r="H30" i="8"/>
  <c r="H31" i="8"/>
  <c r="H32" i="8"/>
  <c r="I12" i="8"/>
  <c r="I14" i="8"/>
  <c r="I15" i="8"/>
  <c r="H4" i="8"/>
  <c r="H5" i="8"/>
  <c r="H6" i="8"/>
  <c r="H7" i="8"/>
  <c r="H8" i="8"/>
  <c r="K12" i="8"/>
  <c r="K13" i="8"/>
  <c r="K14" i="8"/>
  <c r="K15" i="8"/>
  <c r="K16" i="8"/>
  <c r="I28" i="8"/>
  <c r="I29" i="8"/>
  <c r="I30" i="8"/>
  <c r="I31" i="8"/>
  <c r="I32" i="8"/>
  <c r="H12" i="8"/>
  <c r="H13" i="8"/>
  <c r="H14" i="8"/>
  <c r="H15" i="8"/>
  <c r="H16" i="8"/>
  <c r="S24" i="8" l="1"/>
  <c r="L41" i="8" s="1"/>
  <c r="S13" i="8"/>
  <c r="D38" i="8" s="1"/>
  <c r="S8" i="8"/>
  <c r="C41" i="8" s="1"/>
  <c r="S4" i="8"/>
  <c r="C37" i="8" s="1"/>
  <c r="S32" i="8"/>
  <c r="M41" i="8" s="1"/>
  <c r="S16" i="8"/>
  <c r="D41" i="8" s="1"/>
  <c r="S12" i="8"/>
  <c r="D37" i="8" s="1"/>
  <c r="S29" i="8"/>
  <c r="M38" i="8" s="1"/>
  <c r="S7" i="8"/>
  <c r="C40" i="8" s="1"/>
  <c r="S15" i="8"/>
  <c r="D40" i="8" s="1"/>
  <c r="S28" i="8"/>
  <c r="M37" i="8" s="1"/>
  <c r="S6" i="8"/>
  <c r="S30" i="8"/>
  <c r="M39" i="8" s="1"/>
  <c r="S14" i="8"/>
  <c r="D39" i="8" s="1"/>
  <c r="S31" i="8"/>
  <c r="M40" i="8" s="1"/>
  <c r="S5" i="8"/>
  <c r="C38" i="8" s="1"/>
  <c r="S22" i="8"/>
  <c r="S20" i="8"/>
  <c r="L37" i="8" s="1"/>
  <c r="N41" i="8" l="1"/>
  <c r="N38" i="8"/>
  <c r="S9" i="8"/>
  <c r="N40" i="8"/>
  <c r="S25" i="8"/>
  <c r="L39" i="8"/>
  <c r="C39" i="8"/>
  <c r="S33" i="8"/>
  <c r="S17" i="8"/>
  <c r="N37" i="8"/>
  <c r="C12" i="6" l="1"/>
  <c r="N39" i="8"/>
  <c r="F90" i="6"/>
  <c r="E90" i="6"/>
  <c r="F26" i="6"/>
  <c r="E26" i="6"/>
  <c r="E25" i="6"/>
  <c r="C78" i="6" l="1"/>
  <c r="C19" i="6"/>
  <c r="B36" i="2"/>
  <c r="F109" i="6" l="1"/>
  <c r="F108" i="6"/>
  <c r="F106" i="6"/>
  <c r="F104" i="6"/>
  <c r="F97" i="6"/>
  <c r="F96" i="6"/>
  <c r="F95" i="6"/>
  <c r="F94" i="6"/>
  <c r="F93" i="6"/>
  <c r="F91" i="6"/>
  <c r="F89" i="6"/>
  <c r="F88" i="6"/>
  <c r="F87" i="6"/>
  <c r="F86" i="6"/>
  <c r="F85" i="6"/>
  <c r="F84" i="6"/>
  <c r="F83" i="6"/>
  <c r="F82" i="6"/>
  <c r="F81" i="6"/>
  <c r="F80" i="6"/>
  <c r="F79" i="6"/>
  <c r="F76" i="6"/>
  <c r="F75" i="6"/>
  <c r="F74" i="6"/>
  <c r="F73" i="6"/>
  <c r="F71" i="6"/>
  <c r="F70" i="6"/>
  <c r="F69" i="6"/>
  <c r="F66" i="6"/>
  <c r="F65" i="6"/>
  <c r="F64" i="6"/>
  <c r="F63" i="6"/>
  <c r="F61" i="6"/>
  <c r="F60" i="6"/>
  <c r="F59" i="6"/>
  <c r="F58" i="6"/>
  <c r="F57" i="6"/>
  <c r="F56" i="6"/>
  <c r="F55" i="6"/>
  <c r="F54" i="6"/>
  <c r="F53" i="6"/>
  <c r="F52" i="6"/>
  <c r="F51" i="6"/>
  <c r="F50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25" i="6"/>
  <c r="F24" i="6"/>
  <c r="F23" i="6"/>
  <c r="F22" i="6"/>
  <c r="F21" i="6"/>
  <c r="F20" i="6"/>
  <c r="F18" i="6"/>
  <c r="F17" i="6"/>
  <c r="F12" i="6"/>
  <c r="E97" i="6"/>
  <c r="E96" i="6"/>
  <c r="E95" i="6"/>
  <c r="E94" i="6"/>
  <c r="E93" i="6"/>
  <c r="E91" i="6"/>
  <c r="E89" i="6"/>
  <c r="E88" i="6"/>
  <c r="E87" i="6"/>
  <c r="E86" i="6"/>
  <c r="E85" i="6"/>
  <c r="E84" i="6"/>
  <c r="E83" i="6"/>
  <c r="E82" i="6"/>
  <c r="E81" i="6"/>
  <c r="E80" i="6"/>
  <c r="E79" i="6"/>
  <c r="E76" i="6"/>
  <c r="E75" i="6"/>
  <c r="E74" i="6"/>
  <c r="E73" i="6"/>
  <c r="E71" i="6"/>
  <c r="E70" i="6"/>
  <c r="E69" i="6"/>
  <c r="E66" i="6"/>
  <c r="E65" i="6"/>
  <c r="E64" i="6"/>
  <c r="E63" i="6"/>
  <c r="E61" i="6"/>
  <c r="E60" i="6"/>
  <c r="E59" i="6"/>
  <c r="E58" i="6"/>
  <c r="E57" i="6"/>
  <c r="E56" i="6"/>
  <c r="E55" i="6"/>
  <c r="E54" i="6"/>
  <c r="E53" i="6"/>
  <c r="E52" i="6"/>
  <c r="E51" i="6"/>
  <c r="E50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24" i="6"/>
  <c r="E23" i="6"/>
  <c r="E22" i="6"/>
  <c r="E21" i="6"/>
  <c r="E20" i="6"/>
  <c r="E18" i="6"/>
  <c r="E17" i="6"/>
  <c r="E12" i="6"/>
  <c r="B94" i="6"/>
  <c r="B95" i="6" s="1"/>
  <c r="B96" i="6" s="1"/>
  <c r="D92" i="6"/>
  <c r="B92" i="6"/>
  <c r="B80" i="6"/>
  <c r="B81" i="6" s="1"/>
  <c r="B82" i="6" s="1"/>
  <c r="B83" i="6" s="1"/>
  <c r="B84" i="6" s="1"/>
  <c r="B85" i="6" s="1"/>
  <c r="B86" i="6" s="1"/>
  <c r="B87" i="6" s="1"/>
  <c r="B88" i="6" s="1"/>
  <c r="B89" i="6" s="1"/>
  <c r="B74" i="6"/>
  <c r="B75" i="6" s="1"/>
  <c r="B76" i="6" s="1"/>
  <c r="D72" i="6"/>
  <c r="B70" i="6"/>
  <c r="D68" i="6"/>
  <c r="B68" i="6"/>
  <c r="B78" i="6" s="1"/>
  <c r="B64" i="6"/>
  <c r="B65" i="6" s="1"/>
  <c r="B66" i="6" s="1"/>
  <c r="D62" i="6"/>
  <c r="B51" i="6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D14" i="6"/>
  <c r="D43" i="6"/>
  <c r="B40" i="6"/>
  <c r="B41" i="6" s="1"/>
  <c r="B42" i="6" s="1"/>
  <c r="D30" i="6"/>
  <c r="D16" i="6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3" i="4"/>
  <c r="D52" i="4"/>
  <c r="D51" i="4"/>
  <c r="D50" i="4"/>
  <c r="D49" i="4"/>
  <c r="D48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16" i="4"/>
  <c r="D11" i="4"/>
  <c r="D9" i="4"/>
  <c r="D8" i="4"/>
  <c r="D7" i="4"/>
  <c r="D6" i="4"/>
  <c r="D5" i="4"/>
  <c r="D4" i="4"/>
  <c r="D3" i="4"/>
  <c r="J27" i="2"/>
  <c r="I27" i="2"/>
  <c r="H27" i="2"/>
  <c r="G27" i="2"/>
  <c r="F27" i="2"/>
  <c r="E27" i="2"/>
  <c r="D27" i="2"/>
  <c r="C27" i="2"/>
  <c r="J36" i="2"/>
  <c r="J37" i="2"/>
  <c r="J38" i="2"/>
  <c r="J39" i="2"/>
  <c r="J40" i="2"/>
  <c r="I36" i="2"/>
  <c r="I37" i="2"/>
  <c r="I38" i="2"/>
  <c r="I39" i="2"/>
  <c r="I40" i="2"/>
  <c r="H36" i="2"/>
  <c r="H37" i="2"/>
  <c r="H38" i="2"/>
  <c r="H39" i="2"/>
  <c r="H40" i="2"/>
  <c r="G36" i="2"/>
  <c r="G37" i="2"/>
  <c r="G38" i="2"/>
  <c r="G39" i="2"/>
  <c r="G40" i="2"/>
  <c r="F36" i="2"/>
  <c r="F37" i="2"/>
  <c r="F38" i="2"/>
  <c r="F39" i="2"/>
  <c r="F40" i="2"/>
  <c r="E36" i="2"/>
  <c r="E37" i="2"/>
  <c r="E38" i="2"/>
  <c r="E39" i="2"/>
  <c r="E40" i="2"/>
  <c r="D36" i="2"/>
  <c r="D37" i="2"/>
  <c r="D38" i="2"/>
  <c r="D39" i="2"/>
  <c r="D40" i="2"/>
  <c r="C36" i="2"/>
  <c r="C37" i="2"/>
  <c r="C38" i="2"/>
  <c r="C39" i="2"/>
  <c r="C40" i="2"/>
  <c r="J35" i="2"/>
  <c r="I35" i="2"/>
  <c r="H35" i="2"/>
  <c r="G35" i="2"/>
  <c r="F35" i="2"/>
  <c r="E35" i="2"/>
  <c r="D35" i="2"/>
  <c r="C35" i="2"/>
  <c r="B40" i="2"/>
  <c r="B39" i="2"/>
  <c r="B38" i="2"/>
  <c r="B37" i="2"/>
  <c r="B35" i="2"/>
  <c r="D77" i="6" l="1"/>
  <c r="C34" i="2"/>
  <c r="E34" i="2"/>
  <c r="G34" i="2"/>
  <c r="I34" i="2"/>
  <c r="D34" i="2"/>
  <c r="F34" i="2"/>
  <c r="H34" i="2"/>
  <c r="J34" i="2"/>
  <c r="B34" i="2"/>
  <c r="E78" i="6"/>
  <c r="E19" i="6"/>
  <c r="F19" i="6"/>
  <c r="D67" i="6"/>
  <c r="D29" i="6"/>
  <c r="D48" i="6"/>
  <c r="F78" i="6"/>
  <c r="D98" i="6" l="1"/>
  <c r="F15" i="6"/>
  <c r="E15" i="6"/>
  <c r="D13" i="6" l="1"/>
  <c r="C49" i="6" l="1"/>
  <c r="F49" i="6" s="1"/>
  <c r="C30" i="6"/>
  <c r="F30" i="6" s="1"/>
  <c r="C68" i="6"/>
  <c r="F68" i="6" s="1"/>
  <c r="C112" i="6"/>
  <c r="C113" i="6" s="1"/>
  <c r="D27" i="6"/>
  <c r="C5" i="2"/>
  <c r="D5" i="2" s="1"/>
  <c r="E5" i="2" s="1"/>
  <c r="F5" i="2" s="1"/>
  <c r="G5" i="2" s="1"/>
  <c r="H5" i="2" s="1"/>
  <c r="I5" i="2" s="1"/>
  <c r="J5" i="2" s="1"/>
  <c r="C105" i="6" l="1"/>
  <c r="D105" i="6" s="1"/>
  <c r="C107" i="6"/>
  <c r="D107" i="6" s="1"/>
  <c r="C14" i="6"/>
  <c r="F112" i="6"/>
  <c r="F113" i="6" s="1"/>
  <c r="E49" i="6"/>
  <c r="E30" i="6"/>
  <c r="D100" i="6"/>
  <c r="E68" i="6"/>
  <c r="C62" i="6" l="1"/>
  <c r="C13" i="6"/>
  <c r="C110" i="6"/>
  <c r="D110" i="6" s="1"/>
  <c r="C72" i="6"/>
  <c r="C16" i="6"/>
  <c r="C92" i="6"/>
  <c r="C43" i="6"/>
  <c r="E105" i="6"/>
  <c r="F14" i="6"/>
  <c r="E14" i="6"/>
  <c r="F107" i="6"/>
  <c r="F105" i="6"/>
  <c r="E107" i="6"/>
  <c r="D101" i="6"/>
  <c r="C67" i="6"/>
  <c r="C48" i="6" l="1"/>
  <c r="E48" i="6" s="1"/>
  <c r="C27" i="6"/>
  <c r="C77" i="6"/>
  <c r="F77" i="6" s="1"/>
  <c r="C29" i="6"/>
  <c r="F29" i="6" s="1"/>
  <c r="F110" i="6"/>
  <c r="E110" i="6"/>
  <c r="F13" i="6"/>
  <c r="E13" i="6"/>
  <c r="E16" i="6"/>
  <c r="F16" i="6"/>
  <c r="F92" i="6"/>
  <c r="E92" i="6"/>
  <c r="E72" i="6"/>
  <c r="F72" i="6"/>
  <c r="E62" i="6"/>
  <c r="F62" i="6"/>
  <c r="F43" i="6"/>
  <c r="E43" i="6"/>
  <c r="E77" i="6" l="1"/>
  <c r="C98" i="6"/>
  <c r="E112" i="6"/>
  <c r="E113" i="6" s="1"/>
  <c r="E27" i="6"/>
  <c r="F27" i="6"/>
  <c r="F48" i="6"/>
  <c r="E29" i="6"/>
  <c r="F67" i="6"/>
  <c r="E67" i="6"/>
  <c r="C100" i="6" l="1"/>
  <c r="C101" i="6" s="1"/>
  <c r="F101" i="6" s="1"/>
  <c r="E98" i="6"/>
  <c r="E100" i="6" s="1"/>
  <c r="E101" i="6" s="1"/>
  <c r="F98" i="6"/>
  <c r="F100" i="6" l="1"/>
</calcChain>
</file>

<file path=xl/sharedStrings.xml><?xml version="1.0" encoding="utf-8"?>
<sst xmlns="http://schemas.openxmlformats.org/spreadsheetml/2006/main" count="424" uniqueCount="240">
  <si>
    <t>Код рядка</t>
  </si>
  <si>
    <t>податок на додану вартість</t>
  </si>
  <si>
    <t>військовий збір</t>
  </si>
  <si>
    <t>плата за землю</t>
  </si>
  <si>
    <t>податок на дохід фізичних осіб</t>
  </si>
  <si>
    <t xml:space="preserve">єдиний внесок на загальнообов'язкове державне соціальне страхування               </t>
  </si>
  <si>
    <t>Усього податків, зборів та платежів</t>
  </si>
  <si>
    <t>Показники </t>
  </si>
  <si>
    <t>1 </t>
  </si>
  <si>
    <t>2 </t>
  </si>
  <si>
    <t>(підпис)</t>
  </si>
  <si>
    <t>Надходження (доходи) відповідно до укладених договорів з Національною службою здоров'я України</t>
  </si>
  <si>
    <t>Інші надходження (доходи), в тому числі:</t>
  </si>
  <si>
    <t>II. Видатки</t>
  </si>
  <si>
    <t>Видатки за рахунок надходжень відповідно до укладених договорів з Національною службою здоров'я України, в тому числі:</t>
  </si>
  <si>
    <t>поточні видатки:</t>
  </si>
  <si>
    <t>Видатки за рахунок інших надходжень, в тому числі:</t>
  </si>
  <si>
    <t>ІV. Обов'язкові платежі до бюджету:</t>
  </si>
  <si>
    <t>інші (розшифрувати)</t>
  </si>
  <si>
    <t>Штатна чисельність працівників</t>
  </si>
  <si>
    <t>Первісна вартість основних фондів</t>
  </si>
  <si>
    <t xml:space="preserve">   плата за оренду майна </t>
  </si>
  <si>
    <t xml:space="preserve">   надходження від реалізації майна </t>
  </si>
  <si>
    <t xml:space="preserve">   благодійні внески, гранти та дарунки </t>
  </si>
  <si>
    <t>УСЬОГО ВИДАТКИ</t>
  </si>
  <si>
    <t>Фінансовий результат, у тому числі:</t>
  </si>
  <si>
    <t xml:space="preserve">нерозподілені доходи </t>
  </si>
  <si>
    <t xml:space="preserve">резервний фонд </t>
  </si>
  <si>
    <t>Фонд заробітної плати</t>
  </si>
  <si>
    <t>Середня заробітна плата 1 працівника</t>
  </si>
  <si>
    <t>на 01.01.</t>
  </si>
  <si>
    <t>на 01.10</t>
  </si>
  <si>
    <t>1100</t>
  </si>
  <si>
    <t>1200</t>
  </si>
  <si>
    <t>1210</t>
  </si>
  <si>
    <t>1220</t>
  </si>
  <si>
    <t>1300</t>
  </si>
  <si>
    <t>1310</t>
  </si>
  <si>
    <t>1320</t>
  </si>
  <si>
    <t>1400</t>
  </si>
  <si>
    <t>V. Додаткова інформація</t>
  </si>
  <si>
    <t>Прогноз на поточний рік</t>
  </si>
  <si>
    <t>(назва підприємства)</t>
  </si>
  <si>
    <t>капітальні видатки: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</si>
  <si>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</si>
  <si>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</si>
  <si>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</si>
  <si>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</si>
  <si>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</si>
  <si>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інших послуг (крім комунальних)</t>
  </si>
  <si>
    <t>оплата комунальних послуг та енергоносіїв</t>
  </si>
  <si>
    <t xml:space="preserve">видатки на відрядження </t>
  </si>
  <si>
    <t xml:space="preserve">окремі заходи по реалізації державних (регіональних) програм, не віднесені до заходів розвитку 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</si>
  <si>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</si>
  <si>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</si>
  <si>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</si>
  <si>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</si>
  <si>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</si>
  <si>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реконструкція</t>
  </si>
  <si>
    <t>інше (розшифрувати)</t>
  </si>
  <si>
    <r>
      <t>I. Надходження (доходи)</t>
    </r>
    <r>
      <rPr>
        <sz val="12"/>
        <rFont val="Times New Roman"/>
        <family val="1"/>
        <charset val="204"/>
      </rPr>
      <t> </t>
    </r>
  </si>
  <si>
    <r>
      <t>Усього надходження (доходи)</t>
    </r>
    <r>
      <rPr>
        <sz val="12"/>
        <rFont val="Times New Roman"/>
        <family val="1"/>
        <charset val="204"/>
      </rPr>
      <t> </t>
    </r>
  </si>
  <si>
    <r>
      <t>III. Фінансовий результат діяльності</t>
    </r>
    <r>
      <rPr>
        <sz val="12"/>
        <rFont val="Times New Roman"/>
        <family val="1"/>
        <charset val="204"/>
      </rPr>
      <t> </t>
    </r>
  </si>
  <si>
    <t>Надходження (доходи) за рахунок коштів бюджету міста, в тому числі:</t>
  </si>
  <si>
    <t>Дані про  персонал та витрати на оплату праці</t>
  </si>
  <si>
    <t>Найменування показника</t>
  </si>
  <si>
    <t>Дані минулого року</t>
  </si>
  <si>
    <t>Плановий рік</t>
  </si>
  <si>
    <t>на       початок   року</t>
  </si>
  <si>
    <t xml:space="preserve">на кінець  звітного  періоду </t>
  </si>
  <si>
    <t>середньорічна</t>
  </si>
  <si>
    <t>Штатна чисельність працівників (од.),  у тому числі:</t>
  </si>
  <si>
    <t>лікарі</t>
  </si>
  <si>
    <t>фахівці з базовою та неповною вищою медичною освітою</t>
  </si>
  <si>
    <t>молодший медичний персонал</t>
  </si>
  <si>
    <t>спеціалісти  (немедики)</t>
  </si>
  <si>
    <t>Фактична чисельність працівників (од.), у тому числі:</t>
  </si>
  <si>
    <t>Фізичні особи, у тому числі:</t>
  </si>
  <si>
    <t>Середньомісячні витрати на оплату праці одного працівника (грн.), усього, у тому числі:</t>
  </si>
  <si>
    <t xml:space="preserve">              (П.І.Б.)</t>
  </si>
  <si>
    <t>Видатки за рахунок коштів бюджету міста, в тому числі:</t>
  </si>
  <si>
    <t>Капітальні</t>
  </si>
  <si>
    <t>Надходження (доходи) за рахунок інших коштів ,( соц. Економ розвиток кошти від депутатів):</t>
  </si>
  <si>
    <t xml:space="preserve">Поточні </t>
  </si>
  <si>
    <t>Надходження коштів як компенсація орендарем комунальних послуг</t>
  </si>
  <si>
    <t xml:space="preserve">   плата за послуги, що надаються згідно з основною діяльністю (платні послуги)</t>
  </si>
  <si>
    <t>Видатки за рахунок інших коштів ,( соц. Економ розвиток кошти від депутатів):</t>
  </si>
  <si>
    <t>АМОРТИЗАЦІЯ</t>
  </si>
  <si>
    <t>Генеральний директор</t>
  </si>
  <si>
    <t>Вікова група,років</t>
  </si>
  <si>
    <t>Вікова група, коефіцієнт</t>
  </si>
  <si>
    <t>Загальний тариф за рік</t>
  </si>
  <si>
    <t>Тариф з урахуванням вікового коефіцієнту</t>
  </si>
  <si>
    <t>Сума фінансування від НСЗУ за квартал, грн</t>
  </si>
  <si>
    <t>кількість пацієнтів відповідного віку, чол</t>
  </si>
  <si>
    <t>0-5</t>
  </si>
  <si>
    <t>6-17</t>
  </si>
  <si>
    <t>18-39</t>
  </si>
  <si>
    <t>40-64</t>
  </si>
  <si>
    <t>понад 65</t>
  </si>
  <si>
    <t>Тариф з урахуванням вікового коефіцієнту понижувальний від100%+1 до 110%</t>
  </si>
  <si>
    <t>Тариф з урахуванням вікового коефіцієнту понижувальний від 110% + 1 до  120%</t>
  </si>
  <si>
    <t>Тариф з урахуванням вікового коефіцієнту понижувальний від 120%+1 до 130%</t>
  </si>
  <si>
    <t>Тариф з урахуванням вікового коефіцієнту понижувальний від 130% +1 до 140%</t>
  </si>
  <si>
    <t xml:space="preserve">Тариф з урахуванням вікового коефіцієнту понижувальний від 140% +1 до 150% </t>
  </si>
  <si>
    <t xml:space="preserve">Тариф з урахуванням вікового коефіцієнту понижувальний понад 150% </t>
  </si>
  <si>
    <t>1 КВАРТАЛ</t>
  </si>
  <si>
    <t>2 КВАРТАЛ</t>
  </si>
  <si>
    <t>3 КВАРТАЛ</t>
  </si>
  <si>
    <t>4 КВАРТАЛ</t>
  </si>
  <si>
    <t>РІК</t>
  </si>
  <si>
    <t>1 квартал</t>
  </si>
  <si>
    <t>2квартал</t>
  </si>
  <si>
    <t>3квартал</t>
  </si>
  <si>
    <t>4квартал</t>
  </si>
  <si>
    <t>Адміністративно-управлінський персонал</t>
  </si>
  <si>
    <t>Допоміжний персонал</t>
  </si>
  <si>
    <t>Найменування обладнання</t>
  </si>
  <si>
    <t>Потреба в закупівлі, шт
Всього по всім структурним підрозділам</t>
  </si>
  <si>
    <t>Оціночна вартість за 1 штуку, грн</t>
  </si>
  <si>
    <t>Оціночна сума, грн</t>
  </si>
  <si>
    <t>І. Основний список</t>
  </si>
  <si>
    <t>Інше</t>
  </si>
  <si>
    <t>Нарастаючим підсумком з початку року</t>
  </si>
  <si>
    <t>План</t>
  </si>
  <si>
    <t>Факт</t>
  </si>
  <si>
    <t>Відхилення</t>
  </si>
  <si>
    <t>Виконання</t>
  </si>
  <si>
    <t xml:space="preserve">ЗВІТ ПРО ВИКОНАННЯ ФІНАНСОВОГО ПЛАНУ </t>
  </si>
  <si>
    <t>грн.</t>
  </si>
  <si>
    <t>Фонд оплати праці, (грн.), у тому числі:</t>
  </si>
  <si>
    <t xml:space="preserve">   надходження від додаткової господарської діяльності (відсотки від розміщення депозиту)</t>
  </si>
  <si>
    <t>централізоване постачання</t>
  </si>
  <si>
    <t>кількість пацієнтів відповідного віку,від100%+1 до 110% ліміту включно, чол</t>
  </si>
  <si>
    <t>кількість пацієнтів відповідного віку,від 110% + 1 до  120% включно, чол</t>
  </si>
  <si>
    <t>кількість пацієнтів відповідного віку,від 120%+1 до 130% включно, чол</t>
  </si>
  <si>
    <t>кількість пацієнтів відповідного віку, від 130% +1 до 140% включно, чол</t>
  </si>
  <si>
    <t>кількість пацієнтів відповідного віку,від 140% +1 до 150% включно , чол</t>
  </si>
  <si>
    <t>кількість пацієнтів відповідного віку,  від 150% +1 та всі наступні,чол</t>
  </si>
  <si>
    <t>КНП "ДЦПМСД №2" ДМР</t>
  </si>
  <si>
    <t>на 2020 рік</t>
  </si>
  <si>
    <t>О.П.Ральченко</t>
  </si>
  <si>
    <t>Кондиціонер</t>
  </si>
  <si>
    <t>Дефібрилятор</t>
  </si>
  <si>
    <t>Багатофункціональний пристрій</t>
  </si>
  <si>
    <t xml:space="preserve">Кушетка оглядова дитяча </t>
  </si>
  <si>
    <t>Кушетка оглядова</t>
  </si>
  <si>
    <t>Комплект шин імобілязиційних пневмотичних</t>
  </si>
  <si>
    <t>Дозатор автоматичний піпетковий змінного об’єму одноканальний 500-5000 мкл</t>
  </si>
  <si>
    <t>Дозатор автоматичний піпетковий змінного об’єму одноканальний 10-100 мкл</t>
  </si>
  <si>
    <t>Опромінювач бактерицидний</t>
  </si>
  <si>
    <t>Канцелярське приладдя, витратні матеріали для комп’ютерного обладнання (папір, картриджі тощо)</t>
  </si>
  <si>
    <t>Швидкі тести: вагітність, тропоніни, ВІЛ, вірусні гепатити тощо.</t>
  </si>
  <si>
    <t>Набір лікарських засобів та медичних виробів для надання медичної допомоги при невідкладних станах</t>
  </si>
  <si>
    <t>Розхідні матеріали одноразового використання: шпателі, оглядові рукавички, рушники паперові, серветки (в тому числі вологі), одноразові простирадла для кушетки, шприці, катетери, вакуумні пробірки (вакутайнери), стерильний перев’язувальний матеріал тощо</t>
  </si>
  <si>
    <t>Холодильник для зберігання лікарських засобів</t>
  </si>
  <si>
    <t>Виконавець, тел. 767-16-07</t>
  </si>
  <si>
    <t>надходження від централізованого постачання та інше</t>
  </si>
  <si>
    <t>за 2020 рік</t>
  </si>
  <si>
    <t>Стіл маніпуляційний</t>
  </si>
  <si>
    <t>Ширма двохсекційна</t>
  </si>
  <si>
    <t>Стіл сповивальний</t>
  </si>
  <si>
    <t>Стіл інструментальний</t>
  </si>
  <si>
    <t>Банкетка тримісна</t>
  </si>
  <si>
    <t>Банкетка чотиримісна</t>
  </si>
  <si>
    <t>Аналізатор глюкози</t>
  </si>
  <si>
    <t>Гематологічний аналізатор</t>
  </si>
  <si>
    <t>Кардіограф</t>
  </si>
  <si>
    <t>Директор</t>
  </si>
  <si>
    <t>Олег БАЛАГУРА</t>
  </si>
  <si>
    <t xml:space="preserve">Підприємство  </t>
  </si>
  <si>
    <t>КНП "Широківський центр ПМД"</t>
  </si>
  <si>
    <t xml:space="preserve">Організаційно-правова форма </t>
  </si>
  <si>
    <t>Комунальне підприємство</t>
  </si>
  <si>
    <t>Територія</t>
  </si>
  <si>
    <t>Криворізький район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</si>
  <si>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</si>
  <si>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Виконавчий комітет Широківської селищної ради</t>
  </si>
  <si>
    <t xml:space="preserve">Галузь     </t>
  </si>
  <si>
    <t xml:space="preserve">Охорона здоров'я </t>
  </si>
  <si>
    <t xml:space="preserve">Вид економічної діяльності    </t>
  </si>
  <si>
    <t>Діяльність лікарських закладів</t>
  </si>
  <si>
    <t>Форма власності</t>
  </si>
  <si>
    <t>Комунальна</t>
  </si>
  <si>
    <t xml:space="preserve">Місцезнаходження  </t>
  </si>
  <si>
    <t>53700, Дніпропетровська область, Криворізький район, селище Широке, вул. Казбек, 17</t>
  </si>
  <si>
    <t xml:space="preserve">Телефон </t>
  </si>
  <si>
    <t>Керівник</t>
  </si>
  <si>
    <t>Балагура Олег Миколайович</t>
  </si>
  <si>
    <t>Дохід за послуги, що надаються згідно з основною діяльністю (платні послуги)</t>
  </si>
  <si>
    <t>Цільовий інший операційний дохід</t>
  </si>
  <si>
    <t>Дохід від реалізації продукції (товарів, робіт, послуг) (розшифрувати):</t>
  </si>
  <si>
    <t xml:space="preserve">Дохід за програмою медичних гарантій </t>
  </si>
  <si>
    <t>Інші операційні доходи (розшифрувати), у тому числі:</t>
  </si>
  <si>
    <t>Інший операційний дохід від надання майна в оренду</t>
  </si>
  <si>
    <t xml:space="preserve">Інший операційний дохід від компенсацій за комунальні платежі від орендаря </t>
  </si>
  <si>
    <t>Інший дохід</t>
  </si>
  <si>
    <t>Отримані відсотки від депозиту</t>
  </si>
  <si>
    <t>Неопераційний дохід, у тому числі:</t>
  </si>
  <si>
    <t xml:space="preserve">Неопераційний дохід, від амортизації по НА та ОЗ, що отримані як цільове фінансування </t>
  </si>
  <si>
    <t>Неопераційний дохід від амортизації  по НА та ОЗ, що отримані безоплатно</t>
  </si>
  <si>
    <t>II. Витрати</t>
  </si>
  <si>
    <r>
      <t>I. Доходи</t>
    </r>
    <r>
      <rPr>
        <sz val="12"/>
        <rFont val="Times New Roman"/>
        <family val="1"/>
        <charset val="204"/>
      </rPr>
      <t> </t>
    </r>
  </si>
  <si>
    <t>Витрати на оплату праці</t>
  </si>
  <si>
    <t>Нарахування на оплату праці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</si>
  <si>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</si>
  <si>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</si>
  <si>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</si>
  <si>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</si>
  <si>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</si>
  <si>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</si>
  <si>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 xml:space="preserve">Витрати по відшкодуванню  лікарських засобів пільговим категоріям населення </t>
  </si>
  <si>
    <t>Амортизація основних засобів і нематеріальних активів</t>
  </si>
  <si>
    <t>Сплата ПДВ від отриманих власних надходжень</t>
  </si>
  <si>
    <t>Витрати за рахунок іншого цільвого операційного доходу в тому числі:</t>
  </si>
  <si>
    <t xml:space="preserve">Витрати за рахунок інший операційного доходу від компенсацій за комунальні платежі </t>
  </si>
  <si>
    <t>Витрати за рахунок доходу від реалізації продукції (товарів, робіт, послуг), в тому числі:</t>
  </si>
  <si>
    <t>УСЬОГО ВИТРАТИ</t>
  </si>
  <si>
    <t>УСЬОГО ДОХОДІВ</t>
  </si>
  <si>
    <t>тис. грн</t>
  </si>
  <si>
    <t>Фінансовий результат</t>
  </si>
  <si>
    <t>Витрати на сировину та основні матеріали (предмети, матеріали, обладнання та інвентар у т. ч. м'який інвентар, запасні частини до транспортних засобів, витрати на паливо)</t>
  </si>
  <si>
    <t>Витрати на медикаменти та перев’язувальні матеріали</t>
  </si>
  <si>
    <t>Витрати на послуги крім комунальних</t>
  </si>
  <si>
    <t>Витрати на відрядження</t>
  </si>
  <si>
    <t>Інші поточні витрати</t>
  </si>
  <si>
    <t>IV Капітальні інвестиції</t>
  </si>
  <si>
    <t>відхилення (+,-)</t>
  </si>
  <si>
    <t>виконання (%)</t>
  </si>
  <si>
    <t>факт І квартал 2025</t>
  </si>
  <si>
    <t>Факт наростаючим підсумком з початку року</t>
  </si>
  <si>
    <t>-</t>
  </si>
  <si>
    <t>Головний бухгалтер</t>
  </si>
  <si>
    <t>Юлія ДЕМИДЕНКО</t>
  </si>
  <si>
    <t>Витрати на створенння резерву відпусток</t>
  </si>
  <si>
    <t>факт ІІ квартал 2025</t>
  </si>
  <si>
    <t>факт ІІІ квартал 2025</t>
  </si>
  <si>
    <t>факт ІV квартал 2025</t>
  </si>
  <si>
    <t>ЗВІТ ПРО ВИКОНАННЯ ФІНАНСОВОГО ПЛАНУ ПІДПРИЄМСТВА ЗА ІV квартал 2025 року</t>
  </si>
  <si>
    <t>план ІV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</si>
</sst>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#,##0.0"/>
    <numFmt numFmtId="168" formatCode="_(* #,##0_);_(* \(#,##0\);_(* &quot;-&quot;_);_(@_)"/>
    <numFmt numFmtId="169" formatCode="_([$UAH]\ * #,##0.00_);_([$UAH]\ * \(#,##0.00\);_([$UAH]\ * &quot;-&quot;??_);_(@_)"/>
    <numFmt numFmtId="170" formatCode="0.0"/>
    <numFmt numFmtId="171" formatCode="_(* #,##0.0_);_(* \(#,##0.0\);_(* &quot;-&quot;_);_(@_)"/>
  </numFmts>
  <fonts count="33" x14ac:knownFonts="1">
    <font>
      <sz val="11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Arial Cyr"/>
      <charset val="204"/>
    </font>
    <font>
      <sz val="11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 Cyr"/>
      <charset val="204"/>
    </font>
    <font>
      <u/>
      <sz val="14"/>
      <name val="Times New Roman"/>
      <family val="1"/>
      <charset val="204"/>
    </font>
    <font>
      <u/>
      <sz val="13.5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.5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21" fillId="0" borderId="0" applyFont="0" applyFill="0" applyBorder="0" applyAlignment="0" applyProtection="0"/>
    <xf numFmtId="0" fontId="26" fillId="0" borderId="0"/>
  </cellStyleXfs>
  <cellXfs count="300">
    <xf numFmtId="0" fontId="0" fillId="0" borderId="0" xfId="0"/>
    <xf numFmtId="0" fontId="5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13" fillId="0" borderId="9" xfId="0" applyFont="1" applyBorder="1" applyProtection="1">
      <protection locked="0"/>
    </xf>
    <xf numFmtId="0" fontId="17" fillId="0" borderId="9" xfId="0" applyFont="1" applyBorder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5" fillId="2" borderId="0" xfId="0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5" fontId="2" fillId="0" borderId="9" xfId="0" applyNumberFormat="1" applyFont="1" applyBorder="1"/>
    <xf numFmtId="165" fontId="5" fillId="0" borderId="9" xfId="0" applyNumberFormat="1" applyFont="1" applyBorder="1" applyAlignment="1">
      <alignment horizontal="right"/>
    </xf>
    <xf numFmtId="167" fontId="22" fillId="0" borderId="9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168" fontId="13" fillId="3" borderId="9" xfId="0" applyNumberFormat="1" applyFont="1" applyFill="1" applyBorder="1" applyAlignment="1">
      <alignment horizontal="center" vertical="center" wrapText="1"/>
    </xf>
    <xf numFmtId="169" fontId="13" fillId="3" borderId="9" xfId="0" applyNumberFormat="1" applyFont="1" applyFill="1" applyBorder="1" applyAlignment="1">
      <alignment horizontal="center" vertical="center" wrapText="1"/>
    </xf>
    <xf numFmtId="167" fontId="2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 applyAlignment="1">
      <alignment horizontal="right"/>
    </xf>
    <xf numFmtId="167" fontId="22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 indent="2"/>
    </xf>
    <xf numFmtId="168" fontId="2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/>
    <xf numFmtId="168" fontId="1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/>
    <xf numFmtId="0" fontId="24" fillId="0" borderId="9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9" xfId="0" applyBorder="1" applyProtection="1"/>
    <xf numFmtId="0" fontId="0" fillId="4" borderId="19" xfId="0" applyFill="1" applyBorder="1" applyProtection="1"/>
    <xf numFmtId="0" fontId="0" fillId="0" borderId="0" xfId="0" applyProtection="1"/>
    <xf numFmtId="1" fontId="5" fillId="2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4" fontId="1" fillId="0" borderId="0" xfId="0" applyNumberFormat="1" applyFont="1" applyProtection="1"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justify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justify" vertical="center" wrapText="1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justify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justify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horizontal="justify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/>
      <protection locked="0"/>
    </xf>
    <xf numFmtId="4" fontId="2" fillId="0" borderId="15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/>
    <xf numFmtId="4" fontId="2" fillId="0" borderId="9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2" fontId="5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2" fontId="15" fillId="2" borderId="9" xfId="0" applyNumberFormat="1" applyFont="1" applyFill="1" applyBorder="1" applyAlignment="1" applyProtection="1">
      <alignment vertical="center" wrapText="1"/>
      <protection locked="0"/>
    </xf>
    <xf numFmtId="2" fontId="13" fillId="0" borderId="9" xfId="0" applyNumberFormat="1" applyFont="1" applyBorder="1" applyProtection="1">
      <protection locked="0"/>
    </xf>
    <xf numFmtId="2" fontId="15" fillId="0" borderId="9" xfId="0" applyNumberFormat="1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Protection="1">
      <protection locked="0"/>
    </xf>
    <xf numFmtId="0" fontId="15" fillId="0" borderId="7" xfId="0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31" fillId="6" borderId="0" xfId="0" applyFont="1" applyFill="1" applyProtection="1">
      <protection locked="0"/>
    </xf>
    <xf numFmtId="17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/>
      <protection locked="0"/>
    </xf>
    <xf numFmtId="170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11" fillId="2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Fill="1" applyAlignment="1" applyProtection="1">
      <alignment horizontal="center"/>
      <protection locked="0"/>
    </xf>
    <xf numFmtId="170" fontId="5" fillId="7" borderId="9" xfId="0" applyNumberFormat="1" applyFont="1" applyFill="1" applyBorder="1" applyAlignment="1" applyProtection="1">
      <alignment horizontal="center" vertical="center" shrinkToFit="1"/>
    </xf>
    <xf numFmtId="170" fontId="2" fillId="7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Alignment="1" applyProtection="1">
      <alignment horizontal="center"/>
      <protection locked="0"/>
    </xf>
    <xf numFmtId="170" fontId="4" fillId="0" borderId="0" xfId="0" applyNumberFormat="1" applyFont="1" applyBorder="1" applyAlignment="1" applyProtection="1">
      <alignment horizont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170" fontId="3" fillId="0" borderId="0" xfId="0" applyNumberFormat="1" applyFont="1" applyFill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</xf>
    <xf numFmtId="170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0" xfId="0" applyNumberFormat="1" applyFont="1" applyFill="1" applyBorder="1" applyAlignment="1" applyProtection="1">
      <alignment horizontal="center" vertical="center"/>
      <protection locked="0"/>
    </xf>
    <xf numFmtId="170" fontId="2" fillId="0" borderId="10" xfId="0" applyNumberFormat="1" applyFont="1" applyFill="1" applyBorder="1" applyAlignment="1" applyProtection="1">
      <alignment horizontal="center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justify" vertical="center" wrapText="1"/>
      <protection locked="0"/>
    </xf>
    <xf numFmtId="170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justify" vertical="center" wrapText="1"/>
      <protection locked="0"/>
    </xf>
    <xf numFmtId="170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171" fontId="2" fillId="6" borderId="9" xfId="0" applyNumberFormat="1" applyFont="1" applyFill="1" applyBorder="1" applyAlignment="1" applyProtection="1">
      <alignment horizontal="center" vertical="center" shrinkToFit="1"/>
    </xf>
    <xf numFmtId="171" fontId="5" fillId="6" borderId="9" xfId="0" applyNumberFormat="1" applyFont="1" applyFill="1" applyBorder="1" applyAlignment="1" applyProtection="1">
      <alignment horizontal="center" vertical="center" shrinkToFit="1"/>
    </xf>
    <xf numFmtId="171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7" borderId="9" xfId="0" applyNumberFormat="1" applyFont="1" applyFill="1" applyBorder="1" applyAlignment="1" applyProtection="1">
      <alignment horizontal="center" vertical="center" shrinkToFit="1"/>
    </xf>
    <xf numFmtId="171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 vertical="center" wrapText="1"/>
    </xf>
    <xf numFmtId="171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</xf>
    <xf numFmtId="17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1" fontId="4" fillId="0" borderId="0" xfId="0" applyNumberFormat="1" applyFont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9" xfId="0" applyNumberFormat="1" applyFont="1" applyFill="1" applyBorder="1" applyAlignment="1" applyProtection="1">
      <alignment horizontal="center"/>
      <protection locked="0"/>
    </xf>
    <xf numFmtId="170" fontId="10" fillId="0" borderId="0" xfId="0" applyNumberFormat="1" applyFont="1" applyFill="1" applyAlignment="1" applyProtection="1">
      <alignment horizontal="center"/>
      <protection locked="0"/>
    </xf>
    <xf numFmtId="171" fontId="10" fillId="0" borderId="0" xfId="0" applyNumberFormat="1" applyFont="1" applyAlignment="1" applyProtection="1">
      <alignment horizontal="center"/>
      <protection locked="0"/>
    </xf>
    <xf numFmtId="170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2" fillId="0" borderId="0" xfId="0" applyFont="1" applyProtection="1">
      <protection locked="0"/>
    </xf>
    <xf numFmtId="17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5" xfId="0" applyNumberFormat="1" applyFont="1" applyFill="1" applyBorder="1" applyAlignment="1" applyProtection="1">
      <alignment horizontal="center" vertical="center" wrapText="1"/>
    </xf>
    <xf numFmtId="170" fontId="5" fillId="8" borderId="6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17" xfId="0" applyNumberFormat="1" applyFont="1" applyFill="1" applyBorder="1" applyAlignment="1" applyProtection="1">
      <alignment horizontal="center" vertical="center" wrapText="1"/>
    </xf>
    <xf numFmtId="170" fontId="2" fillId="0" borderId="15" xfId="0" applyNumberFormat="1" applyFont="1" applyFill="1" applyBorder="1" applyAlignment="1" applyProtection="1">
      <alignment horizontal="center" vertical="center" wrapText="1"/>
    </xf>
    <xf numFmtId="171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9" xfId="0" applyFont="1" applyFill="1" applyBorder="1" applyAlignment="1" applyProtection="1">
      <alignment horizontal="justify" vertical="center" wrapText="1"/>
      <protection locked="0"/>
    </xf>
    <xf numFmtId="170" fontId="5" fillId="10" borderId="9" xfId="0" applyNumberFormat="1" applyFont="1" applyFill="1" applyBorder="1" applyAlignment="1" applyProtection="1">
      <alignment horizontal="center" vertical="center" shrinkToFit="1"/>
    </xf>
    <xf numFmtId="170" fontId="5" fillId="10" borderId="9" xfId="0" applyNumberFormat="1" applyFont="1" applyFill="1" applyBorder="1" applyAlignment="1" applyProtection="1">
      <alignment horizontal="center" vertical="center" wrapText="1"/>
    </xf>
    <xf numFmtId="171" fontId="5" fillId="10" borderId="9" xfId="0" applyNumberFormat="1" applyFont="1" applyFill="1" applyBorder="1" applyAlignment="1" applyProtection="1">
      <alignment horizontal="center" vertical="center" wrapText="1"/>
    </xf>
    <xf numFmtId="170" fontId="2" fillId="8" borderId="9" xfId="0" applyNumberFormat="1" applyFont="1" applyFill="1" applyBorder="1" applyAlignment="1" applyProtection="1">
      <alignment horizontal="center" vertical="center" shrinkToFit="1"/>
    </xf>
    <xf numFmtId="170" fontId="5" fillId="8" borderId="9" xfId="0" applyNumberFormat="1" applyFont="1" applyFill="1" applyBorder="1" applyAlignment="1" applyProtection="1">
      <alignment horizontal="center"/>
      <protection locked="0"/>
    </xf>
    <xf numFmtId="0" fontId="5" fillId="8" borderId="9" xfId="0" applyFont="1" applyFill="1" applyBorder="1" applyAlignment="1" applyProtection="1">
      <alignment horizontal="justify" vertical="center" wrapText="1"/>
      <protection locked="0"/>
    </xf>
    <xf numFmtId="0" fontId="2" fillId="11" borderId="9" xfId="2" applyFont="1" applyFill="1" applyBorder="1" applyAlignment="1">
      <alignment vertical="center" wrapText="1"/>
    </xf>
    <xf numFmtId="17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0" xfId="0" applyNumberFormat="1" applyFont="1" applyAlignment="1" applyProtection="1">
      <alignment horizontal="right"/>
      <protection locked="0"/>
    </xf>
    <xf numFmtId="170" fontId="30" fillId="0" borderId="10" xfId="0" applyNumberFormat="1" applyFont="1" applyFill="1" applyBorder="1" applyAlignment="1">
      <alignment horizontal="left" vertical="center" wrapText="1"/>
    </xf>
    <xf numFmtId="170" fontId="30" fillId="0" borderId="8" xfId="0" applyNumberFormat="1" applyFont="1" applyFill="1" applyBorder="1" applyAlignment="1">
      <alignment horizontal="left" vertical="center" wrapText="1"/>
    </xf>
    <xf numFmtId="170" fontId="30" fillId="0" borderId="11" xfId="0" applyNumberFormat="1" applyFont="1" applyFill="1" applyBorder="1" applyAlignment="1">
      <alignment horizontal="left" vertical="center" wrapText="1"/>
    </xf>
    <xf numFmtId="170" fontId="10" fillId="0" borderId="10" xfId="0" applyNumberFormat="1" applyFont="1" applyFill="1" applyBorder="1" applyAlignment="1">
      <alignment horizontal="left" vertical="center" wrapText="1"/>
    </xf>
    <xf numFmtId="170" fontId="10" fillId="0" borderId="8" xfId="0" applyNumberFormat="1" applyFont="1" applyFill="1" applyBorder="1" applyAlignment="1">
      <alignment horizontal="left" vertical="center" wrapText="1"/>
    </xf>
    <xf numFmtId="170" fontId="10" fillId="0" borderId="11" xfId="0" applyNumberFormat="1" applyFont="1" applyFill="1" applyBorder="1" applyAlignment="1">
      <alignment horizontal="left" vertical="center" wrapText="1"/>
    </xf>
    <xf numFmtId="170" fontId="10" fillId="6" borderId="10" xfId="0" applyNumberFormat="1" applyFont="1" applyFill="1" applyBorder="1" applyAlignment="1">
      <alignment horizontal="left" vertical="center" wrapText="1"/>
    </xf>
    <xf numFmtId="170" fontId="10" fillId="6" borderId="8" xfId="0" applyNumberFormat="1" applyFont="1" applyFill="1" applyBorder="1" applyAlignment="1">
      <alignment horizontal="left" vertical="center" wrapText="1"/>
    </xf>
    <xf numFmtId="170" fontId="10" fillId="6" borderId="11" xfId="0" applyNumberFormat="1" applyFont="1" applyFill="1" applyBorder="1" applyAlignment="1">
      <alignment horizontal="left" vertical="center" wrapText="1"/>
    </xf>
    <xf numFmtId="0" fontId="10" fillId="6" borderId="10" xfId="0" applyNumberFormat="1" applyFont="1" applyFill="1" applyBorder="1" applyAlignment="1">
      <alignment horizontal="left" vertical="center" wrapText="1"/>
    </xf>
    <xf numFmtId="0" fontId="10" fillId="6" borderId="8" xfId="0" applyNumberFormat="1" applyFont="1" applyFill="1" applyBorder="1" applyAlignment="1">
      <alignment horizontal="left" vertical="center" wrapText="1"/>
    </xf>
    <xf numFmtId="0" fontId="10" fillId="6" borderId="11" xfId="0" applyNumberFormat="1" applyFont="1" applyFill="1" applyBorder="1" applyAlignment="1">
      <alignment horizontal="left" vertical="center" wrapText="1"/>
    </xf>
    <xf numFmtId="170" fontId="6" fillId="0" borderId="0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170" fontId="2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10" borderId="16" xfId="0" applyFont="1" applyFill="1" applyBorder="1" applyAlignment="1" applyProtection="1">
      <alignment horizontal="center" vertical="center" wrapText="1"/>
      <protection locked="0"/>
    </xf>
    <xf numFmtId="0" fontId="5" fillId="10" borderId="0" xfId="0" applyFont="1" applyFill="1" applyBorder="1" applyAlignment="1" applyProtection="1">
      <alignment horizontal="center" vertical="center" wrapText="1"/>
      <protection locked="0"/>
    </xf>
    <xf numFmtId="0" fontId="5" fillId="10" borderId="1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1" fontId="2" fillId="9" borderId="14" xfId="0" applyNumberFormat="1" applyFont="1" applyFill="1" applyBorder="1" applyAlignment="1">
      <alignment horizontal="center" vertical="center" wrapText="1"/>
    </xf>
    <xf numFmtId="171" fontId="2" fillId="9" borderId="15" xfId="0" applyNumberFormat="1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8" fillId="3" borderId="14" xfId="0" applyFont="1" applyFill="1" applyBorder="1" applyAlignment="1" applyProtection="1">
      <alignment horizontal="center" textRotation="255"/>
      <protection locked="0"/>
    </xf>
    <xf numFmtId="0" fontId="18" fillId="3" borderId="19" xfId="0" applyFont="1" applyFill="1" applyBorder="1" applyAlignment="1" applyProtection="1">
      <alignment horizontal="center" textRotation="255"/>
      <protection locked="0"/>
    </xf>
    <xf numFmtId="0" fontId="18" fillId="3" borderId="15" xfId="0" applyFont="1" applyFill="1" applyBorder="1" applyAlignment="1" applyProtection="1">
      <alignment horizontal="center" textRotation="255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</cellXfs>
  <cellStyles count="3">
    <cellStyle name="Денежный 2" xfId="1"/>
    <cellStyle name="Звичайни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81"/>
  <sheetViews>
    <sheetView tabSelected="1" topLeftCell="A37" zoomScale="80" zoomScaleNormal="80" workbookViewId="0">
      <selection activeCell="D61" sqref="D61"/>
    </sheetView>
  </sheetViews>
  <sheetFormatPr defaultColWidth="9.109375" defaultRowHeight="18" x14ac:dyDescent="0.35"/>
  <cols>
    <col min="1" max="1" width="50" style="4" customWidth="1"/>
    <col min="2" max="2" width="17.77734375" style="184" customWidth="1"/>
    <col min="3" max="4" width="17.77734375" style="175" customWidth="1"/>
    <col min="5" max="5" width="17.77734375" style="213" customWidth="1"/>
    <col min="6" max="6" width="17.77734375" style="184" customWidth="1"/>
    <col min="7" max="8" width="11.77734375" style="3" customWidth="1"/>
    <col min="9" max="9" width="8.33203125" style="3" customWidth="1"/>
    <col min="10" max="10" width="19.88671875" style="3" hidden="1" customWidth="1"/>
    <col min="11" max="11" width="20.5546875" style="3" hidden="1" customWidth="1"/>
    <col min="12" max="12" width="21.33203125" style="3" hidden="1" customWidth="1"/>
    <col min="13" max="13" width="21.44140625" style="3" hidden="1" customWidth="1"/>
    <col min="14" max="14" width="9.109375" style="3" hidden="1" customWidth="1"/>
    <col min="15" max="16384" width="9.109375" style="3"/>
  </cols>
  <sheetData>
    <row r="1" spans="1:13" ht="18" customHeight="1" x14ac:dyDescent="0.35">
      <c r="A1" s="163" t="s">
        <v>170</v>
      </c>
      <c r="B1" s="244" t="s">
        <v>171</v>
      </c>
      <c r="C1" s="245"/>
      <c r="D1" s="245"/>
      <c r="E1" s="245"/>
      <c r="F1" s="246"/>
      <c r="G1" s="5"/>
    </row>
    <row r="2" spans="1:13" ht="18" customHeight="1" x14ac:dyDescent="0.35">
      <c r="A2" s="163" t="s">
        <v>172</v>
      </c>
      <c r="B2" s="247" t="s">
        <v>173</v>
      </c>
      <c r="C2" s="248"/>
      <c r="D2" s="248"/>
      <c r="E2" s="248"/>
      <c r="F2" s="249"/>
      <c r="G2" s="5"/>
    </row>
    <row r="3" spans="1:13" ht="18" customHeight="1" x14ac:dyDescent="0.35">
      <c r="A3" s="163" t="s">
        <v>174</v>
      </c>
      <c r="B3" s="247" t="s">
        <v>175</v>
      </c>
      <c r="C3" s="248"/>
      <c r="D3" s="248"/>
      <c r="E3" s="248"/>
      <c r="F3" s="249"/>
      <c r="G3" s="5"/>
    </row>
    <row r="4" spans="1:13" ht="18" customHeight="1" x14ac:dyDescent="0.35">
      <c r="A4" s="163" t="s">
        <v>176</v>
      </c>
      <c r="B4" s="247" t="s">
        <v>177</v>
      </c>
      <c r="C4" s="248"/>
      <c r="D4" s="248"/>
      <c r="E4" s="248"/>
      <c r="F4" s="249"/>
      <c r="G4" s="5"/>
    </row>
    <row r="5" spans="1:13" ht="18" customHeight="1" x14ac:dyDescent="0.35">
      <c r="A5" s="163" t="s">
        <v>178</v>
      </c>
      <c r="B5" s="247" t="s">
        <v>179</v>
      </c>
      <c r="C5" s="248"/>
      <c r="D5" s="248"/>
      <c r="E5" s="248"/>
      <c r="F5" s="249"/>
      <c r="G5" s="5"/>
    </row>
    <row r="6" spans="1:13" ht="18" customHeight="1" x14ac:dyDescent="0.35">
      <c r="A6" s="163" t="s">
        <v>180</v>
      </c>
      <c r="B6" s="247" t="s">
        <v>181</v>
      </c>
      <c r="C6" s="248"/>
      <c r="D6" s="248"/>
      <c r="E6" s="248"/>
      <c r="F6" s="249"/>
      <c r="G6" s="5"/>
    </row>
    <row r="7" spans="1:13" ht="18" customHeight="1" x14ac:dyDescent="0.35">
      <c r="A7" s="163" t="s">
        <v>182</v>
      </c>
      <c r="B7" s="247" t="s">
        <v>183</v>
      </c>
      <c r="C7" s="248"/>
      <c r="D7" s="248"/>
      <c r="E7" s="248"/>
      <c r="F7" s="249"/>
      <c r="G7" s="5"/>
    </row>
    <row r="8" spans="1:13" ht="35.4" customHeight="1" x14ac:dyDescent="0.35">
      <c r="A8" s="163" t="s">
        <v>184</v>
      </c>
      <c r="B8" s="250" t="s">
        <v>185</v>
      </c>
      <c r="C8" s="251"/>
      <c r="D8" s="251"/>
      <c r="E8" s="251"/>
      <c r="F8" s="252"/>
      <c r="G8" s="162"/>
    </row>
    <row r="9" spans="1:13" ht="18" customHeight="1" x14ac:dyDescent="0.35">
      <c r="A9" s="163" t="s">
        <v>186</v>
      </c>
      <c r="B9" s="253">
        <v>677983200</v>
      </c>
      <c r="C9" s="254"/>
      <c r="D9" s="254"/>
      <c r="E9" s="254"/>
      <c r="F9" s="255"/>
      <c r="G9" s="161"/>
    </row>
    <row r="10" spans="1:13" ht="18" customHeight="1" x14ac:dyDescent="0.35">
      <c r="A10" s="163" t="s">
        <v>187</v>
      </c>
      <c r="B10" s="250" t="s">
        <v>188</v>
      </c>
      <c r="C10" s="251"/>
      <c r="D10" s="251"/>
      <c r="E10" s="251"/>
      <c r="F10" s="252"/>
      <c r="G10" s="160"/>
    </row>
    <row r="11" spans="1:13" ht="40.799999999999997" customHeight="1" x14ac:dyDescent="0.35">
      <c r="A11" s="261" t="s">
        <v>238</v>
      </c>
      <c r="B11" s="261"/>
      <c r="C11" s="261"/>
      <c r="D11" s="261"/>
      <c r="E11" s="261"/>
      <c r="F11" s="261"/>
      <c r="G11" s="261"/>
    </row>
    <row r="12" spans="1:13" ht="12" customHeight="1" x14ac:dyDescent="0.35">
      <c r="A12" s="6"/>
      <c r="B12" s="174"/>
      <c r="E12" s="260" t="s">
        <v>219</v>
      </c>
      <c r="F12" s="260"/>
    </row>
    <row r="13" spans="1:13" ht="30" customHeight="1" x14ac:dyDescent="0.35">
      <c r="A13" s="278" t="s">
        <v>7</v>
      </c>
      <c r="B13" s="271" t="s">
        <v>230</v>
      </c>
      <c r="C13" s="271" t="s">
        <v>239</v>
      </c>
      <c r="D13" s="273" t="s">
        <v>237</v>
      </c>
      <c r="E13" s="275" t="s">
        <v>227</v>
      </c>
      <c r="F13" s="277" t="s">
        <v>228</v>
      </c>
      <c r="J13" s="273" t="s">
        <v>229</v>
      </c>
      <c r="K13" s="273" t="s">
        <v>235</v>
      </c>
      <c r="L13" s="273" t="s">
        <v>236</v>
      </c>
      <c r="M13" s="273" t="s">
        <v>237</v>
      </c>
    </row>
    <row r="14" spans="1:13" ht="35.4" customHeight="1" x14ac:dyDescent="0.35">
      <c r="A14" s="279"/>
      <c r="B14" s="272"/>
      <c r="C14" s="272"/>
      <c r="D14" s="274"/>
      <c r="E14" s="276"/>
      <c r="F14" s="277"/>
      <c r="J14" s="274"/>
      <c r="K14" s="274"/>
      <c r="L14" s="274"/>
      <c r="M14" s="274"/>
    </row>
    <row r="15" spans="1:13" ht="15" customHeight="1" x14ac:dyDescent="0.35">
      <c r="A15" s="8" t="s">
        <v>8</v>
      </c>
      <c r="B15" s="188">
        <v>4</v>
      </c>
      <c r="C15" s="188">
        <v>5</v>
      </c>
      <c r="D15" s="188">
        <v>6</v>
      </c>
      <c r="E15" s="188">
        <v>7</v>
      </c>
      <c r="F15" s="215">
        <v>8</v>
      </c>
    </row>
    <row r="16" spans="1:13" ht="18" customHeight="1" x14ac:dyDescent="0.35">
      <c r="A16" s="262" t="s">
        <v>202</v>
      </c>
      <c r="B16" s="263"/>
      <c r="C16" s="263"/>
      <c r="D16" s="263"/>
      <c r="E16" s="263"/>
      <c r="F16" s="264"/>
    </row>
    <row r="17" spans="1:13" s="168" customFormat="1" ht="31.2" x14ac:dyDescent="0.35">
      <c r="A17" s="164" t="s">
        <v>191</v>
      </c>
      <c r="B17" s="176">
        <f>J17+K17+L17+M17</f>
        <v>15376.846000000001</v>
      </c>
      <c r="C17" s="176">
        <f>C18+C19</f>
        <v>5841.9</v>
      </c>
      <c r="D17" s="176">
        <f t="shared" ref="D17" si="0">D18+D19</f>
        <v>4694.2460000000001</v>
      </c>
      <c r="E17" s="202">
        <f>D17-C17</f>
        <v>-1147.6539999999995</v>
      </c>
      <c r="F17" s="178">
        <f>D17/C17*100</f>
        <v>80.354781834677084</v>
      </c>
      <c r="J17" s="176">
        <f t="shared" ref="J17:M17" si="1">J18+J19</f>
        <v>3386.8</v>
      </c>
      <c r="K17" s="176">
        <f t="shared" si="1"/>
        <v>3613.7999999999997</v>
      </c>
      <c r="L17" s="176">
        <f t="shared" si="1"/>
        <v>3682</v>
      </c>
      <c r="M17" s="176">
        <f t="shared" si="1"/>
        <v>4694.2460000000001</v>
      </c>
    </row>
    <row r="18" spans="1:13" s="159" customFormat="1" x14ac:dyDescent="0.35">
      <c r="A18" s="165" t="s">
        <v>192</v>
      </c>
      <c r="B18" s="177">
        <f t="shared" ref="B18:B29" si="2">J18+K18+L18+M18</f>
        <v>15202.066999999999</v>
      </c>
      <c r="C18" s="178">
        <v>5831.9</v>
      </c>
      <c r="D18" s="178">
        <v>4609.2669999999998</v>
      </c>
      <c r="E18" s="201">
        <f>D18-C18</f>
        <v>-1222.6329999999998</v>
      </c>
      <c r="F18" s="178">
        <f>D18/C18*100</f>
        <v>79.035425847493954</v>
      </c>
      <c r="J18" s="178">
        <v>3379.4</v>
      </c>
      <c r="K18" s="178">
        <v>3602.2</v>
      </c>
      <c r="L18" s="178">
        <v>3611.2</v>
      </c>
      <c r="M18" s="178">
        <v>4609.2669999999998</v>
      </c>
    </row>
    <row r="19" spans="1:13" s="159" customFormat="1" ht="35.4" customHeight="1" x14ac:dyDescent="0.35">
      <c r="A19" s="165" t="s">
        <v>189</v>
      </c>
      <c r="B19" s="177">
        <f t="shared" si="2"/>
        <v>174.779</v>
      </c>
      <c r="C19" s="177">
        <v>10</v>
      </c>
      <c r="D19" s="177">
        <v>84.978999999999999</v>
      </c>
      <c r="E19" s="201">
        <f>D19-C19</f>
        <v>74.978999999999999</v>
      </c>
      <c r="F19" s="178">
        <f>D19/C19*100</f>
        <v>849.79</v>
      </c>
      <c r="J19" s="177">
        <v>7.4</v>
      </c>
      <c r="K19" s="177">
        <v>11.6</v>
      </c>
      <c r="L19" s="177">
        <v>70.8</v>
      </c>
      <c r="M19" s="177">
        <v>84.978999999999999</v>
      </c>
    </row>
    <row r="20" spans="1:13" s="168" customFormat="1" ht="31.2" x14ac:dyDescent="0.35">
      <c r="A20" s="164" t="s">
        <v>193</v>
      </c>
      <c r="B20" s="176">
        <f t="shared" si="2"/>
        <v>16564.225000000002</v>
      </c>
      <c r="C20" s="176">
        <f t="shared" ref="C20:E20" si="3">C21+C22+C23+C24+C25</f>
        <v>5067.8999999999996</v>
      </c>
      <c r="D20" s="176">
        <f>D21+D22+D23+D24+D25</f>
        <v>5678.625</v>
      </c>
      <c r="E20" s="204">
        <f t="shared" si="3"/>
        <v>610.72500000000014</v>
      </c>
      <c r="F20" s="178">
        <f t="shared" ref="F20:F29" si="4">D20/C20*100</f>
        <v>112.05084946427515</v>
      </c>
      <c r="J20" s="176">
        <f t="shared" ref="J20:L20" si="5">J21+J22+J23+J24+J25</f>
        <v>3991.2</v>
      </c>
      <c r="K20" s="176">
        <f t="shared" si="5"/>
        <v>3697.0000000000005</v>
      </c>
      <c r="L20" s="176">
        <f t="shared" si="5"/>
        <v>3197.4000000000005</v>
      </c>
      <c r="M20" s="176">
        <f>M21+M22+M23+M24+M25</f>
        <v>5678.625</v>
      </c>
    </row>
    <row r="21" spans="1:13" s="159" customFormat="1" x14ac:dyDescent="0.35">
      <c r="A21" s="165" t="s">
        <v>190</v>
      </c>
      <c r="B21" s="177">
        <f t="shared" si="2"/>
        <v>15897.310000000001</v>
      </c>
      <c r="C21" s="179">
        <v>4742.7</v>
      </c>
      <c r="D21" s="179">
        <v>5495.91</v>
      </c>
      <c r="E21" s="203">
        <f>D21-C21</f>
        <v>753.21</v>
      </c>
      <c r="F21" s="178">
        <f t="shared" si="4"/>
        <v>115.88145992788918</v>
      </c>
      <c r="J21" s="179">
        <v>3823.5</v>
      </c>
      <c r="K21" s="179">
        <v>3530.6</v>
      </c>
      <c r="L21" s="179">
        <v>3047.3</v>
      </c>
      <c r="M21" s="179">
        <v>5495.91</v>
      </c>
    </row>
    <row r="22" spans="1:13" s="159" customFormat="1" ht="31.2" x14ac:dyDescent="0.35">
      <c r="A22" s="165" t="s">
        <v>194</v>
      </c>
      <c r="B22" s="177">
        <f t="shared" si="2"/>
        <v>37.375</v>
      </c>
      <c r="C22" s="179">
        <v>9.4</v>
      </c>
      <c r="D22" s="179">
        <v>12.475</v>
      </c>
      <c r="E22" s="203">
        <f t="shared" ref="E22:E25" si="6">D22-C22</f>
        <v>3.0749999999999993</v>
      </c>
      <c r="F22" s="178">
        <f t="shared" si="4"/>
        <v>132.71276595744681</v>
      </c>
      <c r="J22" s="179">
        <v>6.2</v>
      </c>
      <c r="K22" s="179">
        <v>9.3000000000000007</v>
      </c>
      <c r="L22" s="179">
        <v>9.4</v>
      </c>
      <c r="M22" s="179">
        <v>12.475</v>
      </c>
    </row>
    <row r="23" spans="1:13" s="159" customFormat="1" ht="36.6" customHeight="1" x14ac:dyDescent="0.35">
      <c r="A23" s="165" t="s">
        <v>195</v>
      </c>
      <c r="B23" s="177">
        <f t="shared" si="2"/>
        <v>61.34</v>
      </c>
      <c r="C23" s="181">
        <v>65.8</v>
      </c>
      <c r="D23" s="173">
        <v>25.74</v>
      </c>
      <c r="E23" s="203">
        <f t="shared" si="6"/>
        <v>-40.06</v>
      </c>
      <c r="F23" s="178">
        <f t="shared" si="4"/>
        <v>39.118541033434653</v>
      </c>
      <c r="J23" s="173">
        <v>7.5</v>
      </c>
      <c r="K23" s="173">
        <v>6.8</v>
      </c>
      <c r="L23" s="173">
        <v>21.3</v>
      </c>
      <c r="M23" s="173">
        <v>25.74</v>
      </c>
    </row>
    <row r="24" spans="1:13" s="159" customFormat="1" x14ac:dyDescent="0.35">
      <c r="A24" s="166" t="s">
        <v>196</v>
      </c>
      <c r="B24" s="177">
        <f t="shared" si="2"/>
        <v>0</v>
      </c>
      <c r="C24" s="179">
        <v>0</v>
      </c>
      <c r="D24" s="179">
        <v>0</v>
      </c>
      <c r="E24" s="203">
        <f t="shared" si="6"/>
        <v>0</v>
      </c>
      <c r="F24" s="178" t="e">
        <f t="shared" si="4"/>
        <v>#DIV/0!</v>
      </c>
      <c r="J24" s="179">
        <v>0</v>
      </c>
      <c r="K24" s="179">
        <v>0</v>
      </c>
      <c r="L24" s="179">
        <v>0</v>
      </c>
      <c r="M24" s="179">
        <v>0</v>
      </c>
    </row>
    <row r="25" spans="1:13" s="159" customFormat="1" x14ac:dyDescent="0.35">
      <c r="A25" s="165" t="s">
        <v>197</v>
      </c>
      <c r="B25" s="177">
        <f t="shared" si="2"/>
        <v>568.20000000000005</v>
      </c>
      <c r="C25" s="179">
        <v>250</v>
      </c>
      <c r="D25" s="179">
        <v>144.5</v>
      </c>
      <c r="E25" s="203">
        <f t="shared" si="6"/>
        <v>-105.5</v>
      </c>
      <c r="F25" s="178">
        <f t="shared" si="4"/>
        <v>57.8</v>
      </c>
      <c r="J25" s="179">
        <v>154</v>
      </c>
      <c r="K25" s="179">
        <v>150.30000000000001</v>
      </c>
      <c r="L25" s="179">
        <v>119.4</v>
      </c>
      <c r="M25" s="179">
        <v>144.5</v>
      </c>
    </row>
    <row r="26" spans="1:13" s="168" customFormat="1" x14ac:dyDescent="0.35">
      <c r="A26" s="164" t="s">
        <v>198</v>
      </c>
      <c r="B26" s="176">
        <f t="shared" si="2"/>
        <v>2248.3159999999998</v>
      </c>
      <c r="C26" s="176">
        <f t="shared" ref="C26:E26" si="7">C27+C28</f>
        <v>550</v>
      </c>
      <c r="D26" s="176">
        <f t="shared" si="7"/>
        <v>471.916</v>
      </c>
      <c r="E26" s="204">
        <f t="shared" si="7"/>
        <v>-78.084000000000003</v>
      </c>
      <c r="F26" s="178">
        <f t="shared" si="4"/>
        <v>85.802909090909083</v>
      </c>
      <c r="J26" s="176">
        <f t="shared" ref="J26:M26" si="8">J27+J28</f>
        <v>695.09999999999991</v>
      </c>
      <c r="K26" s="176">
        <f t="shared" si="8"/>
        <v>560.1</v>
      </c>
      <c r="L26" s="176">
        <f t="shared" si="8"/>
        <v>521.20000000000005</v>
      </c>
      <c r="M26" s="176">
        <f t="shared" si="8"/>
        <v>471.916</v>
      </c>
    </row>
    <row r="27" spans="1:13" s="159" customFormat="1" ht="31.2" x14ac:dyDescent="0.35">
      <c r="A27" s="165" t="s">
        <v>199</v>
      </c>
      <c r="B27" s="177">
        <f t="shared" si="2"/>
        <v>1395.5260000000003</v>
      </c>
      <c r="C27" s="179">
        <v>300</v>
      </c>
      <c r="D27" s="179">
        <v>266.726</v>
      </c>
      <c r="E27" s="203">
        <f>D27-C27</f>
        <v>-33.274000000000001</v>
      </c>
      <c r="F27" s="178">
        <f t="shared" si="4"/>
        <v>88.908666666666676</v>
      </c>
      <c r="J27" s="179">
        <v>472.9</v>
      </c>
      <c r="K27" s="179">
        <v>345.3</v>
      </c>
      <c r="L27" s="179">
        <v>310.60000000000002</v>
      </c>
      <c r="M27" s="179">
        <v>266.726</v>
      </c>
    </row>
    <row r="28" spans="1:13" s="159" customFormat="1" ht="31.2" x14ac:dyDescent="0.35">
      <c r="A28" s="165" t="s">
        <v>200</v>
      </c>
      <c r="B28" s="177">
        <f t="shared" si="2"/>
        <v>852.79</v>
      </c>
      <c r="C28" s="179">
        <v>250</v>
      </c>
      <c r="D28" s="179">
        <v>205.19</v>
      </c>
      <c r="E28" s="203">
        <f>D28-C28</f>
        <v>-44.81</v>
      </c>
      <c r="F28" s="178">
        <f t="shared" si="4"/>
        <v>82.076000000000008</v>
      </c>
      <c r="J28" s="179">
        <v>222.2</v>
      </c>
      <c r="K28" s="179">
        <v>214.8</v>
      </c>
      <c r="L28" s="179">
        <v>210.6</v>
      </c>
      <c r="M28" s="179">
        <v>205.19</v>
      </c>
    </row>
    <row r="29" spans="1:13" ht="18.600000000000001" customHeight="1" x14ac:dyDescent="0.35">
      <c r="A29" s="233" t="s">
        <v>218</v>
      </c>
      <c r="B29" s="234">
        <f t="shared" si="2"/>
        <v>34189.386999999995</v>
      </c>
      <c r="C29" s="235">
        <f>C17+C20+C26</f>
        <v>11459.8</v>
      </c>
      <c r="D29" s="235">
        <f>D17+D20+D26</f>
        <v>10844.786999999998</v>
      </c>
      <c r="E29" s="236">
        <f t="shared" ref="E29" si="9">E17+E20+E26</f>
        <v>-615.01299999999947</v>
      </c>
      <c r="F29" s="237">
        <f t="shared" si="4"/>
        <v>94.633300755685084</v>
      </c>
      <c r="J29" s="235">
        <f t="shared" ref="J29" si="10">J17+J20+J26</f>
        <v>8073.1</v>
      </c>
      <c r="K29" s="235">
        <f>K17+K20+K26</f>
        <v>7870.9000000000005</v>
      </c>
      <c r="L29" s="235">
        <f>L17+L20+L26</f>
        <v>7400.6</v>
      </c>
      <c r="M29" s="235">
        <f>M17+M20+M26</f>
        <v>10844.786999999998</v>
      </c>
    </row>
    <row r="30" spans="1:13" x14ac:dyDescent="0.35">
      <c r="A30" s="265" t="s">
        <v>201</v>
      </c>
      <c r="B30" s="266"/>
      <c r="C30" s="266"/>
      <c r="D30" s="266"/>
      <c r="E30" s="266"/>
      <c r="F30" s="267"/>
    </row>
    <row r="31" spans="1:13" ht="46.95" customHeight="1" x14ac:dyDescent="0.35">
      <c r="A31" s="199" t="s">
        <v>216</v>
      </c>
      <c r="B31" s="198">
        <f>J31+K31+L31+M31</f>
        <v>17854.275000000001</v>
      </c>
      <c r="C31" s="198">
        <f>C32+C33+C36+C37+C38+C39+C35+C45+C46+C34</f>
        <v>5790.2000000000007</v>
      </c>
      <c r="D31" s="198">
        <f>D32+D33+D36+D37+D38+D39+D35+D45+D46+D34</f>
        <v>4056.7750000000001</v>
      </c>
      <c r="E31" s="205">
        <f>E32+E33+E36+E37+E38+E39+E35+E45+E46</f>
        <v>-2306.7510000000002</v>
      </c>
      <c r="F31" s="198">
        <f>D31/C31*100</f>
        <v>70.062778487789714</v>
      </c>
      <c r="J31" s="231">
        <f>J32+J33+J36+J37+J38+J39+J35+J45+J46+J34</f>
        <v>4812.0999999999995</v>
      </c>
      <c r="K31" s="198">
        <f>K32+K33+K36+K37+K38+K39+K35+K45+K46+K34</f>
        <v>4889.5000000000009</v>
      </c>
      <c r="L31" s="198">
        <f>L32+L33+L36+L37+L38+L39+L35+L45+L46+L34</f>
        <v>4095.9</v>
      </c>
      <c r="M31" s="198">
        <f>M32+M33+M36+M37+M38+M39+M35+M45+M46+M34</f>
        <v>4056.7750000000001</v>
      </c>
    </row>
    <row r="32" spans="1:13" ht="18" customHeight="1" x14ac:dyDescent="0.35">
      <c r="A32" s="165" t="s">
        <v>203</v>
      </c>
      <c r="B32" s="181">
        <f>J32+K32+L32+M32</f>
        <v>11863.59</v>
      </c>
      <c r="C32" s="189">
        <v>4202.6000000000004</v>
      </c>
      <c r="D32" s="189">
        <v>2615.79</v>
      </c>
      <c r="E32" s="206">
        <f>D32-C32</f>
        <v>-1586.8100000000004</v>
      </c>
      <c r="F32" s="189">
        <f>D32/C32*100</f>
        <v>62.242183410269824</v>
      </c>
      <c r="J32" s="189">
        <v>3227.6</v>
      </c>
      <c r="K32" s="189">
        <v>3316.8</v>
      </c>
      <c r="L32" s="189">
        <v>2703.4</v>
      </c>
      <c r="M32" s="189">
        <v>2615.79</v>
      </c>
    </row>
    <row r="33" spans="1:13" ht="18" customHeight="1" x14ac:dyDescent="0.35">
      <c r="A33" s="165" t="s">
        <v>204</v>
      </c>
      <c r="B33" s="181">
        <f t="shared" ref="B33:B46" si="11">J33+K33+L33+M33</f>
        <v>2617.54</v>
      </c>
      <c r="C33" s="181">
        <v>924.6</v>
      </c>
      <c r="D33" s="181">
        <v>583.14</v>
      </c>
      <c r="E33" s="206">
        <f t="shared" ref="E33:E38" si="12">D33-C33</f>
        <v>-341.46000000000004</v>
      </c>
      <c r="F33" s="189">
        <f t="shared" ref="F33:F45" si="13">D33/C33*100</f>
        <v>63.069435431537954</v>
      </c>
      <c r="J33" s="181">
        <v>709</v>
      </c>
      <c r="K33" s="181">
        <v>731.3</v>
      </c>
      <c r="L33" s="181">
        <v>594.1</v>
      </c>
      <c r="M33" s="181">
        <v>583.14</v>
      </c>
    </row>
    <row r="34" spans="1:13" ht="18" customHeight="1" x14ac:dyDescent="0.35">
      <c r="A34" s="240" t="s">
        <v>234</v>
      </c>
      <c r="B34" s="181">
        <f t="shared" si="11"/>
        <v>2122.2260000000001</v>
      </c>
      <c r="C34" s="181">
        <v>0</v>
      </c>
      <c r="D34" s="195">
        <v>573.32600000000002</v>
      </c>
      <c r="E34" s="206">
        <f t="shared" ref="E34" si="14">D34-C34</f>
        <v>573.32600000000002</v>
      </c>
      <c r="F34" s="189" t="e">
        <f t="shared" ref="F34" si="15">D34/C34*100</f>
        <v>#DIV/0!</v>
      </c>
      <c r="H34" s="159"/>
      <c r="I34" s="159"/>
      <c r="J34" s="181">
        <v>541.1</v>
      </c>
      <c r="K34" s="195">
        <v>542.70000000000005</v>
      </c>
      <c r="L34" s="195">
        <v>465.1</v>
      </c>
      <c r="M34" s="195">
        <v>573.32600000000002</v>
      </c>
    </row>
    <row r="35" spans="1:13" ht="69" customHeight="1" x14ac:dyDescent="0.35">
      <c r="A35" s="165" t="s">
        <v>221</v>
      </c>
      <c r="B35" s="181">
        <f t="shared" si="11"/>
        <v>6.1999999999999993</v>
      </c>
      <c r="C35" s="181">
        <v>21</v>
      </c>
      <c r="D35" s="195">
        <v>0</v>
      </c>
      <c r="E35" s="206">
        <f t="shared" si="12"/>
        <v>-21</v>
      </c>
      <c r="F35" s="189">
        <f t="shared" si="13"/>
        <v>0</v>
      </c>
      <c r="H35" s="159"/>
      <c r="I35" s="159"/>
      <c r="J35" s="181">
        <v>1.7</v>
      </c>
      <c r="K35" s="195">
        <v>1.9</v>
      </c>
      <c r="L35" s="195">
        <v>2.6</v>
      </c>
      <c r="M35" s="195">
        <v>0</v>
      </c>
    </row>
    <row r="36" spans="1:13" ht="31.8" customHeight="1" x14ac:dyDescent="0.35">
      <c r="A36" s="165" t="s">
        <v>222</v>
      </c>
      <c r="B36" s="181">
        <f t="shared" si="11"/>
        <v>291</v>
      </c>
      <c r="C36" s="180">
        <v>390</v>
      </c>
      <c r="D36" s="180">
        <v>85.2</v>
      </c>
      <c r="E36" s="206">
        <f t="shared" si="12"/>
        <v>-304.8</v>
      </c>
      <c r="F36" s="189">
        <f t="shared" si="13"/>
        <v>21.846153846153847</v>
      </c>
      <c r="H36" s="159"/>
      <c r="I36" s="159"/>
      <c r="J36" s="181">
        <v>94.3</v>
      </c>
      <c r="K36" s="180">
        <v>59.6</v>
      </c>
      <c r="L36" s="180">
        <v>51.9</v>
      </c>
      <c r="M36" s="180">
        <v>85.2</v>
      </c>
    </row>
    <row r="37" spans="1:13" ht="19.95" customHeight="1" x14ac:dyDescent="0.35">
      <c r="A37" s="166" t="s">
        <v>223</v>
      </c>
      <c r="B37" s="181">
        <f t="shared" si="11"/>
        <v>518.4</v>
      </c>
      <c r="C37" s="180">
        <v>139</v>
      </c>
      <c r="D37" s="180">
        <v>103.8</v>
      </c>
      <c r="E37" s="206">
        <f t="shared" si="12"/>
        <v>-35.200000000000003</v>
      </c>
      <c r="F37" s="189">
        <f t="shared" si="13"/>
        <v>74.676258992805757</v>
      </c>
      <c r="J37" s="181">
        <v>80.3</v>
      </c>
      <c r="K37" s="180">
        <v>151.80000000000001</v>
      </c>
      <c r="L37" s="180">
        <v>182.5</v>
      </c>
      <c r="M37" s="180">
        <v>103.8</v>
      </c>
    </row>
    <row r="38" spans="1:13" ht="18" customHeight="1" x14ac:dyDescent="0.35">
      <c r="A38" s="166" t="s">
        <v>224</v>
      </c>
      <c r="B38" s="181">
        <f t="shared" si="11"/>
        <v>48.277999999999999</v>
      </c>
      <c r="C38" s="180">
        <v>10</v>
      </c>
      <c r="D38" s="180">
        <v>16.878</v>
      </c>
      <c r="E38" s="206">
        <f t="shared" si="12"/>
        <v>6.8780000000000001</v>
      </c>
      <c r="F38" s="189">
        <f t="shared" si="13"/>
        <v>168.78</v>
      </c>
      <c r="J38" s="181">
        <v>13.2</v>
      </c>
      <c r="K38" s="180">
        <v>6.8</v>
      </c>
      <c r="L38" s="180">
        <v>11.4</v>
      </c>
      <c r="M38" s="180">
        <v>16.878</v>
      </c>
    </row>
    <row r="39" spans="1:13" ht="33.6" customHeight="1" x14ac:dyDescent="0.35">
      <c r="A39" s="165" t="s">
        <v>205</v>
      </c>
      <c r="B39" s="181">
        <f t="shared" si="11"/>
        <v>0</v>
      </c>
      <c r="C39" s="216">
        <f>SUM(C40:C44)</f>
        <v>0</v>
      </c>
      <c r="D39" s="190">
        <f t="shared" ref="D39:E39" si="16">SUM(D40:D44)</f>
        <v>0</v>
      </c>
      <c r="E39" s="207">
        <f t="shared" si="16"/>
        <v>0</v>
      </c>
      <c r="F39" s="189" t="s">
        <v>231</v>
      </c>
      <c r="J39" s="181">
        <f t="shared" ref="J39:M39" si="17">SUM(J40:J44)</f>
        <v>0</v>
      </c>
      <c r="K39" s="190">
        <f t="shared" si="17"/>
        <v>0</v>
      </c>
      <c r="L39" s="190">
        <f t="shared" si="17"/>
        <v>0</v>
      </c>
      <c r="M39" s="190">
        <f t="shared" si="17"/>
        <v>0</v>
      </c>
    </row>
    <row r="40" spans="1:13" ht="18" customHeight="1" x14ac:dyDescent="0.35">
      <c r="A40" s="167" t="s">
        <v>206</v>
      </c>
      <c r="B40" s="181">
        <f t="shared" si="11"/>
        <v>0</v>
      </c>
      <c r="C40" s="217">
        <v>0</v>
      </c>
      <c r="D40" s="172">
        <v>0</v>
      </c>
      <c r="E40" s="211">
        <f>D40-C40</f>
        <v>0</v>
      </c>
      <c r="F40" s="189" t="s">
        <v>231</v>
      </c>
      <c r="J40" s="172">
        <v>0</v>
      </c>
      <c r="K40" s="172">
        <v>0</v>
      </c>
      <c r="L40" s="172">
        <v>0</v>
      </c>
      <c r="M40" s="172">
        <v>0</v>
      </c>
    </row>
    <row r="41" spans="1:13" ht="18" customHeight="1" x14ac:dyDescent="0.35">
      <c r="A41" s="167" t="s">
        <v>207</v>
      </c>
      <c r="B41" s="181">
        <f t="shared" si="11"/>
        <v>0</v>
      </c>
      <c r="C41" s="224">
        <v>0</v>
      </c>
      <c r="D41" s="172">
        <v>0</v>
      </c>
      <c r="E41" s="211">
        <f t="shared" ref="E41:E46" si="18">D41-C41</f>
        <v>0</v>
      </c>
      <c r="F41" s="189" t="s">
        <v>231</v>
      </c>
      <c r="J41" s="172">
        <v>0</v>
      </c>
      <c r="K41" s="172">
        <v>0</v>
      </c>
      <c r="L41" s="172">
        <v>0</v>
      </c>
      <c r="M41" s="172">
        <v>0</v>
      </c>
    </row>
    <row r="42" spans="1:13" ht="18" customHeight="1" x14ac:dyDescent="0.35">
      <c r="A42" s="167" t="s">
        <v>208</v>
      </c>
      <c r="B42" s="181">
        <f t="shared" si="11"/>
        <v>0</v>
      </c>
      <c r="C42" s="225">
        <v>0</v>
      </c>
      <c r="D42" s="172">
        <v>0</v>
      </c>
      <c r="E42" s="211">
        <f t="shared" si="18"/>
        <v>0</v>
      </c>
      <c r="F42" s="189" t="s">
        <v>231</v>
      </c>
      <c r="J42" s="172">
        <v>0</v>
      </c>
      <c r="K42" s="172">
        <v>0</v>
      </c>
      <c r="L42" s="172">
        <v>0</v>
      </c>
      <c r="M42" s="172">
        <v>0</v>
      </c>
    </row>
    <row r="43" spans="1:13" ht="18" customHeight="1" x14ac:dyDescent="0.35">
      <c r="A43" s="167" t="s">
        <v>209</v>
      </c>
      <c r="B43" s="181">
        <f t="shared" si="11"/>
        <v>0</v>
      </c>
      <c r="C43" s="224">
        <v>0</v>
      </c>
      <c r="D43" s="172">
        <v>0</v>
      </c>
      <c r="E43" s="211">
        <f t="shared" si="18"/>
        <v>0</v>
      </c>
      <c r="F43" s="189" t="s">
        <v>231</v>
      </c>
      <c r="J43" s="172">
        <v>0</v>
      </c>
      <c r="K43" s="172">
        <v>0</v>
      </c>
      <c r="L43" s="172">
        <v>0</v>
      </c>
      <c r="M43" s="172">
        <v>0</v>
      </c>
    </row>
    <row r="44" spans="1:13" x14ac:dyDescent="0.35">
      <c r="A44" s="167" t="s">
        <v>210</v>
      </c>
      <c r="B44" s="181">
        <f t="shared" si="11"/>
        <v>0</v>
      </c>
      <c r="C44" s="224">
        <v>0</v>
      </c>
      <c r="D44" s="172">
        <v>0</v>
      </c>
      <c r="E44" s="211">
        <f t="shared" si="18"/>
        <v>0</v>
      </c>
      <c r="F44" s="189" t="s">
        <v>231</v>
      </c>
      <c r="J44" s="172">
        <v>0</v>
      </c>
      <c r="K44" s="172">
        <v>0</v>
      </c>
      <c r="L44" s="172">
        <v>0</v>
      </c>
      <c r="M44" s="172">
        <v>0</v>
      </c>
    </row>
    <row r="45" spans="1:13" ht="31.2" x14ac:dyDescent="0.35">
      <c r="A45" s="165" t="s">
        <v>212</v>
      </c>
      <c r="B45" s="181">
        <f t="shared" si="11"/>
        <v>327.85</v>
      </c>
      <c r="C45" s="224">
        <v>103</v>
      </c>
      <c r="D45" s="181">
        <v>78.349999999999994</v>
      </c>
      <c r="E45" s="230">
        <f t="shared" si="18"/>
        <v>-24.650000000000006</v>
      </c>
      <c r="F45" s="189">
        <f t="shared" si="13"/>
        <v>76.06796116504853</v>
      </c>
      <c r="J45" s="181">
        <v>86</v>
      </c>
      <c r="K45" s="181">
        <v>78.599999999999994</v>
      </c>
      <c r="L45" s="181">
        <v>84.9</v>
      </c>
      <c r="M45" s="181">
        <v>78.349999999999994</v>
      </c>
    </row>
    <row r="46" spans="1:13" x14ac:dyDescent="0.35">
      <c r="A46" s="165" t="s">
        <v>225</v>
      </c>
      <c r="B46" s="181">
        <f t="shared" si="11"/>
        <v>59.190999999999995</v>
      </c>
      <c r="C46" s="226">
        <v>0</v>
      </c>
      <c r="D46" s="189">
        <v>0.29099999999999998</v>
      </c>
      <c r="E46" s="211">
        <f t="shared" si="18"/>
        <v>0.29099999999999998</v>
      </c>
      <c r="F46" s="189" t="s">
        <v>231</v>
      </c>
      <c r="J46" s="189">
        <v>58.9</v>
      </c>
      <c r="K46" s="189">
        <v>0</v>
      </c>
      <c r="L46" s="189">
        <v>0</v>
      </c>
      <c r="M46" s="189">
        <v>0.29099999999999998</v>
      </c>
    </row>
    <row r="47" spans="1:13" ht="30.6" customHeight="1" x14ac:dyDescent="0.35">
      <c r="A47" s="196" t="s">
        <v>214</v>
      </c>
      <c r="B47" s="200">
        <f>J47+K47+L47+M47</f>
        <v>18145.649000000001</v>
      </c>
      <c r="C47" s="227">
        <f t="shared" ref="C47:E47" si="19">C48+C49+C50+C52+C53+C54+C60+C61+C62+C51</f>
        <v>5418.2000000000007</v>
      </c>
      <c r="D47" s="231">
        <f>D48+D49+D50+D52+D53+D54+D60+D61+D62+D51</f>
        <v>5967.8</v>
      </c>
      <c r="E47" s="232">
        <f t="shared" si="19"/>
        <v>549.59999999999968</v>
      </c>
      <c r="F47" s="231">
        <f>D47/C47*100</f>
        <v>110.14359012218078</v>
      </c>
      <c r="J47" s="231">
        <f>J48+J49+J50+J52+J53+J54+J60+J61+J62+J51</f>
        <v>4518.5999999999995</v>
      </c>
      <c r="K47" s="231">
        <f>K48+K49+K50+K52+K53+K54+K60+K61+K62+K51</f>
        <v>4090.7</v>
      </c>
      <c r="L47" s="231">
        <f>L48+L49+L50+L52+L53+L54+L60+L61+L62+L51</f>
        <v>3568.4000000000005</v>
      </c>
      <c r="M47" s="231">
        <f>M48+M49+M50+M52+M53+M54+M60+M61+M62+M51</f>
        <v>5967.9490000000005</v>
      </c>
    </row>
    <row r="48" spans="1:13" x14ac:dyDescent="0.35">
      <c r="A48" s="165" t="s">
        <v>203</v>
      </c>
      <c r="B48" s="191">
        <f>J48+K48+L48+M48</f>
        <v>7357.5419999999995</v>
      </c>
      <c r="C48" s="194">
        <v>2218.3000000000002</v>
      </c>
      <c r="D48" s="189">
        <v>2741.7</v>
      </c>
      <c r="E48" s="206">
        <f>D48-C48</f>
        <v>523.39999999999964</v>
      </c>
      <c r="F48" s="189">
        <f>D48/C48*100</f>
        <v>123.59464454762654</v>
      </c>
      <c r="J48" s="189">
        <v>1566.6</v>
      </c>
      <c r="K48" s="189">
        <v>1458.3</v>
      </c>
      <c r="L48" s="189">
        <v>1590.9</v>
      </c>
      <c r="M48" s="189">
        <v>2741.7420000000002</v>
      </c>
    </row>
    <row r="49" spans="1:13" x14ac:dyDescent="0.35">
      <c r="A49" s="165" t="s">
        <v>204</v>
      </c>
      <c r="B49" s="191">
        <f t="shared" ref="B49:B62" si="20">J49+K49+L49+M49</f>
        <v>1610.5</v>
      </c>
      <c r="C49" s="182">
        <v>488</v>
      </c>
      <c r="D49" s="179">
        <v>597.6</v>
      </c>
      <c r="E49" s="206">
        <f t="shared" ref="E49:E53" si="21">D49-C49</f>
        <v>109.60000000000002</v>
      </c>
      <c r="F49" s="189">
        <f t="shared" ref="F49:F62" si="22">D49/C49*100</f>
        <v>122.45901639344264</v>
      </c>
      <c r="J49" s="179">
        <v>344</v>
      </c>
      <c r="K49" s="179">
        <v>322.89999999999998</v>
      </c>
      <c r="L49" s="179">
        <v>346</v>
      </c>
      <c r="M49" s="179">
        <v>597.6</v>
      </c>
    </row>
    <row r="50" spans="1:13" ht="62.4" x14ac:dyDescent="0.35">
      <c r="A50" s="165" t="s">
        <v>221</v>
      </c>
      <c r="B50" s="191">
        <f t="shared" si="20"/>
        <v>760.43100000000004</v>
      </c>
      <c r="C50" s="182">
        <v>228.4</v>
      </c>
      <c r="D50" s="179">
        <v>166</v>
      </c>
      <c r="E50" s="206">
        <f t="shared" si="21"/>
        <v>-62.400000000000006</v>
      </c>
      <c r="F50" s="189">
        <f t="shared" si="22"/>
        <v>72.679509632224168</v>
      </c>
      <c r="J50" s="179">
        <v>209.3</v>
      </c>
      <c r="K50" s="179">
        <v>235.8</v>
      </c>
      <c r="L50" s="179">
        <v>149.30000000000001</v>
      </c>
      <c r="M50" s="179">
        <v>166.03100000000001</v>
      </c>
    </row>
    <row r="51" spans="1:13" ht="31.2" x14ac:dyDescent="0.35">
      <c r="A51" s="166" t="s">
        <v>222</v>
      </c>
      <c r="B51" s="191">
        <f t="shared" si="20"/>
        <v>2621.5969999999998</v>
      </c>
      <c r="C51" s="182">
        <v>622.1</v>
      </c>
      <c r="D51" s="182">
        <v>578.79999999999995</v>
      </c>
      <c r="E51" s="228">
        <f t="shared" si="21"/>
        <v>-43.300000000000068</v>
      </c>
      <c r="F51" s="229">
        <f t="shared" si="22"/>
        <v>93.039704227616127</v>
      </c>
      <c r="J51" s="179">
        <f>812.4+0.6</f>
        <v>813</v>
      </c>
      <c r="K51" s="182">
        <v>732.5</v>
      </c>
      <c r="L51" s="182">
        <v>497.3</v>
      </c>
      <c r="M51" s="182">
        <v>578.79700000000003</v>
      </c>
    </row>
    <row r="52" spans="1:13" x14ac:dyDescent="0.35">
      <c r="A52" s="166" t="s">
        <v>223</v>
      </c>
      <c r="B52" s="191">
        <f t="shared" si="20"/>
        <v>895</v>
      </c>
      <c r="C52" s="182">
        <v>145.1</v>
      </c>
      <c r="D52" s="182">
        <v>408.3</v>
      </c>
      <c r="E52" s="209">
        <f t="shared" si="21"/>
        <v>263.20000000000005</v>
      </c>
      <c r="F52" s="189">
        <f t="shared" si="22"/>
        <v>281.3921433494142</v>
      </c>
      <c r="J52" s="179">
        <v>47.7</v>
      </c>
      <c r="K52" s="182">
        <v>123.7</v>
      </c>
      <c r="L52" s="182">
        <v>315.3</v>
      </c>
      <c r="M52" s="182">
        <v>408.3</v>
      </c>
    </row>
    <row r="53" spans="1:13" x14ac:dyDescent="0.35">
      <c r="A53" s="166" t="s">
        <v>224</v>
      </c>
      <c r="B53" s="191">
        <f t="shared" si="20"/>
        <v>0</v>
      </c>
      <c r="C53" s="182">
        <v>0</v>
      </c>
      <c r="D53" s="172">
        <v>0</v>
      </c>
      <c r="E53" s="209">
        <f t="shared" si="21"/>
        <v>0</v>
      </c>
      <c r="F53" s="189" t="e">
        <f t="shared" si="22"/>
        <v>#DIV/0!</v>
      </c>
      <c r="J53" s="172">
        <v>0</v>
      </c>
      <c r="K53" s="172">
        <v>0</v>
      </c>
      <c r="L53" s="172">
        <v>0</v>
      </c>
      <c r="M53" s="172">
        <v>0</v>
      </c>
    </row>
    <row r="54" spans="1:13" ht="31.2" x14ac:dyDescent="0.35">
      <c r="A54" s="165" t="s">
        <v>205</v>
      </c>
      <c r="B54" s="191">
        <f t="shared" si="20"/>
        <v>2360.9229999999998</v>
      </c>
      <c r="C54" s="169">
        <f t="shared" ref="C54:E54" si="23">SUM(C55:C59)</f>
        <v>999.3</v>
      </c>
      <c r="D54" s="169">
        <f>SUM(D55:D59)</f>
        <v>908.40000000000009</v>
      </c>
      <c r="E54" s="210">
        <f t="shared" si="23"/>
        <v>-90.9</v>
      </c>
      <c r="F54" s="189">
        <f t="shared" si="22"/>
        <v>90.90363254277996</v>
      </c>
      <c r="J54" s="181">
        <f>SUM(J55:J59)</f>
        <v>786.69999999999993</v>
      </c>
      <c r="K54" s="169">
        <f>SUM(K55:K59)</f>
        <v>541.70000000000005</v>
      </c>
      <c r="L54" s="169">
        <f>SUM(L55:L59)</f>
        <v>124.10000000000001</v>
      </c>
      <c r="M54" s="169">
        <f>SUM(M55:M59)</f>
        <v>908.423</v>
      </c>
    </row>
    <row r="55" spans="1:13" x14ac:dyDescent="0.35">
      <c r="A55" s="167" t="s">
        <v>206</v>
      </c>
      <c r="B55" s="191">
        <f t="shared" si="20"/>
        <v>598.28700000000003</v>
      </c>
      <c r="C55" s="182">
        <v>255.7</v>
      </c>
      <c r="D55" s="193">
        <v>263.3</v>
      </c>
      <c r="E55" s="211">
        <f>D55-C55</f>
        <v>7.6000000000000227</v>
      </c>
      <c r="F55" s="189">
        <f t="shared" si="22"/>
        <v>102.97223308564725</v>
      </c>
      <c r="J55" s="172">
        <v>196.9</v>
      </c>
      <c r="K55" s="193">
        <v>138.1</v>
      </c>
      <c r="L55" s="193">
        <v>0</v>
      </c>
      <c r="M55" s="193">
        <v>263.28699999999998</v>
      </c>
    </row>
    <row r="56" spans="1:13" x14ac:dyDescent="0.35">
      <c r="A56" s="167" t="s">
        <v>207</v>
      </c>
      <c r="B56" s="191">
        <f t="shared" si="20"/>
        <v>27.700000000000003</v>
      </c>
      <c r="C56" s="180">
        <v>5</v>
      </c>
      <c r="D56" s="180">
        <v>9.6</v>
      </c>
      <c r="E56" s="211">
        <f t="shared" ref="E56:E62" si="24">D56-C56</f>
        <v>4.5999999999999996</v>
      </c>
      <c r="F56" s="189">
        <f t="shared" si="22"/>
        <v>192</v>
      </c>
      <c r="J56" s="181">
        <v>5.8</v>
      </c>
      <c r="K56" s="180">
        <v>6.2</v>
      </c>
      <c r="L56" s="180">
        <v>6.1</v>
      </c>
      <c r="M56" s="180">
        <v>9.6</v>
      </c>
    </row>
    <row r="57" spans="1:13" x14ac:dyDescent="0.35">
      <c r="A57" s="167" t="s">
        <v>208</v>
      </c>
      <c r="B57" s="191">
        <f t="shared" si="20"/>
        <v>988.1</v>
      </c>
      <c r="C57" s="180">
        <v>413.6</v>
      </c>
      <c r="D57" s="180">
        <v>312.5</v>
      </c>
      <c r="E57" s="211">
        <f t="shared" si="24"/>
        <v>-101.10000000000002</v>
      </c>
      <c r="F57" s="189">
        <f t="shared" si="22"/>
        <v>75.55609284332688</v>
      </c>
      <c r="J57" s="181">
        <v>337.2</v>
      </c>
      <c r="K57" s="180">
        <v>236.2</v>
      </c>
      <c r="L57" s="180">
        <v>102.2</v>
      </c>
      <c r="M57" s="180">
        <v>312.5</v>
      </c>
    </row>
    <row r="58" spans="1:13" x14ac:dyDescent="0.35">
      <c r="A58" s="167" t="s">
        <v>209</v>
      </c>
      <c r="B58" s="191">
        <f t="shared" si="20"/>
        <v>674.19999999999993</v>
      </c>
      <c r="C58" s="182">
        <v>292.5</v>
      </c>
      <c r="D58" s="182">
        <v>256</v>
      </c>
      <c r="E58" s="211">
        <f t="shared" si="24"/>
        <v>-36.5</v>
      </c>
      <c r="F58" s="189">
        <f t="shared" si="22"/>
        <v>87.521367521367523</v>
      </c>
      <c r="J58" s="179">
        <v>246.2</v>
      </c>
      <c r="K58" s="182">
        <f>158.1</f>
        <v>158.1</v>
      </c>
      <c r="L58" s="182">
        <v>13.9</v>
      </c>
      <c r="M58" s="182">
        <v>256</v>
      </c>
    </row>
    <row r="59" spans="1:13" x14ac:dyDescent="0.35">
      <c r="A59" s="167" t="s">
        <v>210</v>
      </c>
      <c r="B59" s="191">
        <f t="shared" si="20"/>
        <v>72.635999999999996</v>
      </c>
      <c r="C59" s="180">
        <v>32.5</v>
      </c>
      <c r="D59" s="193">
        <v>67</v>
      </c>
      <c r="E59" s="211">
        <f t="shared" si="24"/>
        <v>34.5</v>
      </c>
      <c r="F59" s="189">
        <f t="shared" si="22"/>
        <v>206.15384615384613</v>
      </c>
      <c r="J59" s="172">
        <v>0.6</v>
      </c>
      <c r="K59" s="193">
        <v>3.1</v>
      </c>
      <c r="L59" s="193">
        <v>1.9</v>
      </c>
      <c r="M59" s="193">
        <v>67.036000000000001</v>
      </c>
    </row>
    <row r="60" spans="1:13" ht="31.2" x14ac:dyDescent="0.35">
      <c r="A60" s="165" t="s">
        <v>211</v>
      </c>
      <c r="B60" s="191">
        <f t="shared" si="20"/>
        <v>291.33600000000001</v>
      </c>
      <c r="C60" s="180">
        <v>167</v>
      </c>
      <c r="D60" s="192">
        <v>95.1</v>
      </c>
      <c r="E60" s="211">
        <f t="shared" si="24"/>
        <v>-71.900000000000006</v>
      </c>
      <c r="F60" s="189">
        <f t="shared" si="22"/>
        <v>56.946107784431135</v>
      </c>
      <c r="J60" s="173">
        <v>56.2</v>
      </c>
      <c r="K60" s="192">
        <v>115.6</v>
      </c>
      <c r="L60" s="192">
        <v>24.4</v>
      </c>
      <c r="M60" s="192">
        <v>95.135999999999996</v>
      </c>
    </row>
    <row r="61" spans="1:13" ht="31.2" x14ac:dyDescent="0.35">
      <c r="A61" s="165" t="s">
        <v>212</v>
      </c>
      <c r="B61" s="191">
        <f t="shared" si="20"/>
        <v>2248.3200000000002</v>
      </c>
      <c r="C61" s="180">
        <v>550</v>
      </c>
      <c r="D61" s="180">
        <v>471.9</v>
      </c>
      <c r="E61" s="211">
        <f t="shared" si="24"/>
        <v>-78.100000000000023</v>
      </c>
      <c r="F61" s="189">
        <f t="shared" si="22"/>
        <v>85.8</v>
      </c>
      <c r="J61" s="181">
        <v>695.1</v>
      </c>
      <c r="K61" s="180">
        <v>560.20000000000005</v>
      </c>
      <c r="L61" s="180">
        <v>521.1</v>
      </c>
      <c r="M61" s="180">
        <v>471.92</v>
      </c>
    </row>
    <row r="62" spans="1:13" x14ac:dyDescent="0.35">
      <c r="A62" s="165" t="s">
        <v>225</v>
      </c>
      <c r="B62" s="191">
        <f t="shared" si="20"/>
        <v>0</v>
      </c>
      <c r="C62" s="171">
        <v>0</v>
      </c>
      <c r="D62" s="172">
        <v>0</v>
      </c>
      <c r="E62" s="211">
        <f t="shared" si="24"/>
        <v>0</v>
      </c>
      <c r="F62" s="189" t="e">
        <f t="shared" si="22"/>
        <v>#DIV/0!</v>
      </c>
      <c r="J62" s="172">
        <v>0</v>
      </c>
      <c r="K62" s="172">
        <v>0</v>
      </c>
      <c r="L62" s="172">
        <v>0</v>
      </c>
      <c r="M62" s="172">
        <v>0</v>
      </c>
    </row>
    <row r="63" spans="1:13" ht="31.2" x14ac:dyDescent="0.35">
      <c r="A63" s="196" t="s">
        <v>215</v>
      </c>
      <c r="B63" s="197">
        <f>J63+K63+L63+M63</f>
        <v>61.262</v>
      </c>
      <c r="C63" s="197">
        <f t="shared" ref="C63:E63" si="25">SUM(C64+C66)</f>
        <v>78.3</v>
      </c>
      <c r="D63" s="197">
        <f t="shared" si="25"/>
        <v>16.562000000000001</v>
      </c>
      <c r="E63" s="208">
        <f t="shared" si="25"/>
        <v>-61.738</v>
      </c>
      <c r="F63" s="197">
        <f>D63/C63*100</f>
        <v>21.15197956577267</v>
      </c>
      <c r="J63" s="231">
        <f>SUM(J64+J66)</f>
        <v>11.2</v>
      </c>
      <c r="K63" s="197">
        <f t="shared" ref="K63" si="26">SUM(K64+K66)</f>
        <v>10.1</v>
      </c>
      <c r="L63" s="197">
        <f t="shared" ref="L63:M63" si="27">SUM(L64+L66)</f>
        <v>23.400000000000002</v>
      </c>
      <c r="M63" s="197">
        <f t="shared" si="27"/>
        <v>16.562000000000001</v>
      </c>
    </row>
    <row r="64" spans="1:13" ht="34.799999999999997" customHeight="1" x14ac:dyDescent="0.35">
      <c r="A64" s="165" t="s">
        <v>205</v>
      </c>
      <c r="B64" s="169">
        <f>J64+K64+L64+M64</f>
        <v>49.362000000000002</v>
      </c>
      <c r="C64" s="169">
        <f t="shared" ref="C64:E64" si="28">C65</f>
        <v>65.8</v>
      </c>
      <c r="D64" s="169">
        <f t="shared" si="28"/>
        <v>13.762</v>
      </c>
      <c r="E64" s="242">
        <f t="shared" si="28"/>
        <v>-52.037999999999997</v>
      </c>
      <c r="F64" s="169">
        <f>D64/C64*100</f>
        <v>20.914893617021278</v>
      </c>
      <c r="J64" s="241">
        <f>J65</f>
        <v>7.5</v>
      </c>
      <c r="K64" s="170">
        <f t="shared" ref="K64:M64" si="29">K65</f>
        <v>6.8</v>
      </c>
      <c r="L64" s="170">
        <f t="shared" si="29"/>
        <v>21.3</v>
      </c>
      <c r="M64" s="169">
        <f t="shared" si="29"/>
        <v>13.762</v>
      </c>
    </row>
    <row r="65" spans="1:13" ht="16.95" customHeight="1" x14ac:dyDescent="0.35">
      <c r="A65" s="167" t="s">
        <v>208</v>
      </c>
      <c r="B65" s="169">
        <f t="shared" ref="B65:B66" si="30">J65+K65+L65+M65</f>
        <v>49.362000000000002</v>
      </c>
      <c r="C65" s="171">
        <v>65.8</v>
      </c>
      <c r="D65" s="172">
        <v>13.762</v>
      </c>
      <c r="E65" s="211">
        <f>D65-C65</f>
        <v>-52.037999999999997</v>
      </c>
      <c r="F65" s="172">
        <f>D65/C65*100</f>
        <v>20.914893617021278</v>
      </c>
      <c r="J65" s="172">
        <v>7.5</v>
      </c>
      <c r="K65" s="172">
        <v>6.8</v>
      </c>
      <c r="L65" s="172">
        <v>21.3</v>
      </c>
      <c r="M65" s="172">
        <v>13.762</v>
      </c>
    </row>
    <row r="66" spans="1:13" ht="16.95" customHeight="1" x14ac:dyDescent="0.35">
      <c r="A66" s="165" t="s">
        <v>213</v>
      </c>
      <c r="B66" s="169">
        <f t="shared" si="30"/>
        <v>11.899999999999999</v>
      </c>
      <c r="C66" s="171">
        <v>12.5</v>
      </c>
      <c r="D66" s="218">
        <v>2.8</v>
      </c>
      <c r="E66" s="211">
        <f>D66-C66</f>
        <v>-9.6999999999999993</v>
      </c>
      <c r="F66" s="172">
        <f t="shared" ref="F66:F67" si="31">D66/C66*100</f>
        <v>22.4</v>
      </c>
      <c r="J66" s="218">
        <v>3.7</v>
      </c>
      <c r="K66" s="218">
        <v>3.3</v>
      </c>
      <c r="L66" s="218">
        <v>2.1</v>
      </c>
      <c r="M66" s="218">
        <v>2.8</v>
      </c>
    </row>
    <row r="67" spans="1:13" ht="16.95" customHeight="1" x14ac:dyDescent="0.35">
      <c r="A67" s="196" t="s">
        <v>217</v>
      </c>
      <c r="B67" s="197">
        <f>J67+K67+L67+M67</f>
        <v>36061.186000000002</v>
      </c>
      <c r="C67" s="197">
        <f>C63+C47+C31</f>
        <v>11286.7</v>
      </c>
      <c r="D67" s="197">
        <f>D63+D47+D31</f>
        <v>10041.137000000001</v>
      </c>
      <c r="E67" s="208">
        <f>E63+E47+E31</f>
        <v>-1818.8890000000006</v>
      </c>
      <c r="F67" s="238">
        <f t="shared" si="31"/>
        <v>88.964329697785899</v>
      </c>
      <c r="J67" s="200">
        <f>J63+J47+J31</f>
        <v>9341.8999999999978</v>
      </c>
      <c r="K67" s="197">
        <f>K63+K47+K31</f>
        <v>8990.3000000000011</v>
      </c>
      <c r="L67" s="197">
        <f>L63+L47+L31</f>
        <v>7687.7000000000007</v>
      </c>
      <c r="M67" s="197">
        <f>M63+M47+M31</f>
        <v>10041.286</v>
      </c>
    </row>
    <row r="68" spans="1:13" ht="15" customHeight="1" x14ac:dyDescent="0.35">
      <c r="A68" s="268" t="s">
        <v>62</v>
      </c>
      <c r="B68" s="269"/>
      <c r="C68" s="269"/>
      <c r="D68" s="269"/>
      <c r="E68" s="269"/>
      <c r="F68" s="270"/>
    </row>
    <row r="69" spans="1:13" ht="23.4" customHeight="1" x14ac:dyDescent="0.35">
      <c r="A69" s="239" t="s">
        <v>220</v>
      </c>
      <c r="B69" s="231">
        <f>B29-B67</f>
        <v>-1871.7990000000063</v>
      </c>
      <c r="C69" s="231">
        <f>C29-C67</f>
        <v>173.09999999999854</v>
      </c>
      <c r="D69" s="231">
        <f>D29-D67</f>
        <v>803.64999999999782</v>
      </c>
      <c r="E69" s="232">
        <f>E29-E67</f>
        <v>1203.8760000000011</v>
      </c>
      <c r="F69" s="231">
        <f>D69/C69*100</f>
        <v>464.26920854997371</v>
      </c>
      <c r="J69" s="231">
        <f>J29-J67</f>
        <v>-1268.7999999999975</v>
      </c>
      <c r="K69" s="231">
        <f>K29-K67</f>
        <v>-1119.4000000000005</v>
      </c>
      <c r="L69" s="231">
        <f>L29-L67</f>
        <v>-287.10000000000036</v>
      </c>
      <c r="M69" s="231"/>
    </row>
    <row r="70" spans="1:13" ht="16.95" customHeight="1" x14ac:dyDescent="0.35">
      <c r="A70" s="257" t="s">
        <v>226</v>
      </c>
      <c r="B70" s="258"/>
      <c r="C70" s="258"/>
      <c r="D70" s="258"/>
      <c r="E70" s="258"/>
      <c r="F70" s="259"/>
    </row>
    <row r="71" spans="1:13" ht="31.2" x14ac:dyDescent="0.35">
      <c r="A71" s="75" t="s">
        <v>56</v>
      </c>
      <c r="B71" s="169">
        <f>J71+K71+M71</f>
        <v>94.6</v>
      </c>
      <c r="C71" s="171">
        <v>0</v>
      </c>
      <c r="D71" s="171">
        <v>34</v>
      </c>
      <c r="E71" s="212">
        <v>0</v>
      </c>
      <c r="F71" s="173">
        <v>0</v>
      </c>
      <c r="J71" s="171">
        <v>0</v>
      </c>
      <c r="K71" s="171">
        <v>60.6</v>
      </c>
      <c r="L71" s="171">
        <v>0</v>
      </c>
      <c r="M71" s="171">
        <v>34</v>
      </c>
    </row>
    <row r="72" spans="1:13" x14ac:dyDescent="0.35">
      <c r="A72" s="13"/>
      <c r="B72" s="256"/>
      <c r="C72" s="256"/>
      <c r="D72" s="183"/>
    </row>
    <row r="73" spans="1:13" ht="13.95" customHeight="1" x14ac:dyDescent="0.35">
      <c r="B73" s="185"/>
      <c r="C73" s="183"/>
      <c r="D73" s="183"/>
    </row>
    <row r="74" spans="1:13" ht="13.95" customHeight="1" x14ac:dyDescent="0.35">
      <c r="B74" s="185"/>
      <c r="C74" s="183"/>
      <c r="D74" s="183"/>
    </row>
    <row r="75" spans="1:13" x14ac:dyDescent="0.35">
      <c r="A75" s="2"/>
      <c r="B75" s="186"/>
      <c r="C75" s="187"/>
      <c r="D75" s="187"/>
      <c r="E75" s="214"/>
    </row>
    <row r="76" spans="1:13" x14ac:dyDescent="0.35">
      <c r="A76" s="222" t="s">
        <v>168</v>
      </c>
      <c r="B76" s="186"/>
      <c r="C76" s="187"/>
      <c r="D76" s="243" t="s">
        <v>169</v>
      </c>
      <c r="E76" s="243"/>
      <c r="F76" s="243"/>
    </row>
    <row r="77" spans="1:13" x14ac:dyDescent="0.35">
      <c r="A77" s="222"/>
      <c r="B77" s="186"/>
      <c r="C77" s="187"/>
      <c r="D77" s="219"/>
      <c r="E77" s="220"/>
      <c r="F77" s="221"/>
    </row>
    <row r="78" spans="1:13" x14ac:dyDescent="0.35">
      <c r="A78" s="222"/>
      <c r="B78" s="186"/>
      <c r="C78" s="187"/>
      <c r="D78" s="219"/>
      <c r="E78" s="220"/>
      <c r="F78" s="221"/>
    </row>
    <row r="79" spans="1:13" x14ac:dyDescent="0.35">
      <c r="A79" s="222" t="s">
        <v>232</v>
      </c>
      <c r="B79" s="186"/>
      <c r="C79" s="187"/>
      <c r="D79" s="219"/>
      <c r="E79" s="243" t="s">
        <v>233</v>
      </c>
      <c r="F79" s="243"/>
    </row>
    <row r="80" spans="1:13" x14ac:dyDescent="0.35">
      <c r="A80" s="222"/>
      <c r="B80" s="186"/>
      <c r="C80" s="187"/>
      <c r="D80" s="219"/>
      <c r="E80" s="220"/>
      <c r="F80" s="221"/>
    </row>
    <row r="81" spans="1:1" x14ac:dyDescent="0.35">
      <c r="A81" s="223"/>
    </row>
  </sheetData>
  <mergeCells count="29">
    <mergeCell ref="J13:J14"/>
    <mergeCell ref="K13:K14"/>
    <mergeCell ref="L13:L14"/>
    <mergeCell ref="M13:M14"/>
    <mergeCell ref="A13:A14"/>
    <mergeCell ref="A16:F16"/>
    <mergeCell ref="A30:F30"/>
    <mergeCell ref="A68:F68"/>
    <mergeCell ref="B13:B14"/>
    <mergeCell ref="D13:D14"/>
    <mergeCell ref="E13:E14"/>
    <mergeCell ref="C13:C14"/>
    <mergeCell ref="F13:F14"/>
    <mergeCell ref="E79:F79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D76:F76"/>
    <mergeCell ref="B72:C72"/>
    <mergeCell ref="A70:F70"/>
    <mergeCell ref="E12:F12"/>
    <mergeCell ref="A11:G11"/>
  </mergeCells>
  <pageMargins left="0.59055118110236227" right="0.59055118110236227" top="0.55118110236220474" bottom="0.35433070866141736" header="0" footer="0"/>
  <pageSetup paperSize="9" scale="65" fitToHeight="7" orientation="portrait" r:id="rId1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7" workbookViewId="0">
      <selection activeCell="T18" sqref="T18"/>
    </sheetView>
  </sheetViews>
  <sheetFormatPr defaultRowHeight="14.4" x14ac:dyDescent="0.3"/>
  <cols>
    <col min="1" max="1" width="9.109375" style="57"/>
    <col min="2" max="2" width="18.44140625" style="57" customWidth="1"/>
    <col min="3" max="3" width="18.88671875" style="57" customWidth="1"/>
    <col min="4" max="4" width="20.6640625" style="57" customWidth="1"/>
    <col min="5" max="11" width="22" style="57" hidden="1" customWidth="1"/>
    <col min="12" max="12" width="20.33203125" style="57" customWidth="1"/>
    <col min="13" max="13" width="22.44140625" style="57" customWidth="1"/>
    <col min="14" max="14" width="20.33203125" style="57" customWidth="1"/>
    <col min="15" max="18" width="20.33203125" style="57" hidden="1" customWidth="1"/>
    <col min="19" max="19" width="19" style="57" customWidth="1"/>
    <col min="20" max="20" width="15.88671875" customWidth="1"/>
  </cols>
  <sheetData>
    <row r="1" spans="1:19" x14ac:dyDescent="0.3">
      <c r="A1" s="57">
        <v>0</v>
      </c>
    </row>
    <row r="3" spans="1:19" ht="57.6" x14ac:dyDescent="0.3">
      <c r="A3" s="280" t="s">
        <v>106</v>
      </c>
      <c r="B3" s="58" t="s">
        <v>89</v>
      </c>
      <c r="C3" s="58" t="s">
        <v>90</v>
      </c>
      <c r="D3" s="58" t="s">
        <v>91</v>
      </c>
      <c r="E3" s="58" t="s">
        <v>92</v>
      </c>
      <c r="F3" s="58" t="s">
        <v>100</v>
      </c>
      <c r="G3" s="58" t="s">
        <v>101</v>
      </c>
      <c r="H3" s="58" t="s">
        <v>102</v>
      </c>
      <c r="I3" s="58" t="s">
        <v>103</v>
      </c>
      <c r="J3" s="58" t="s">
        <v>104</v>
      </c>
      <c r="K3" s="58" t="s">
        <v>105</v>
      </c>
      <c r="L3" s="58" t="s">
        <v>94</v>
      </c>
      <c r="M3" s="58" t="s">
        <v>133</v>
      </c>
      <c r="N3" s="58" t="s">
        <v>134</v>
      </c>
      <c r="O3" s="58" t="s">
        <v>135</v>
      </c>
      <c r="P3" s="58" t="s">
        <v>136</v>
      </c>
      <c r="Q3" s="58" t="s">
        <v>137</v>
      </c>
      <c r="R3" s="58" t="s">
        <v>138</v>
      </c>
      <c r="S3" s="58" t="s">
        <v>93</v>
      </c>
    </row>
    <row r="4" spans="1:19" x14ac:dyDescent="0.3">
      <c r="A4" s="281"/>
      <c r="B4" s="59" t="s">
        <v>95</v>
      </c>
      <c r="C4" s="59">
        <v>2.4649999999999999</v>
      </c>
      <c r="D4" s="59">
        <v>600.48</v>
      </c>
      <c r="E4" s="59">
        <f>D4/12*1*C4</f>
        <v>123.34859999999999</v>
      </c>
      <c r="F4" s="59">
        <f>D4*1/12</f>
        <v>50.04</v>
      </c>
      <c r="G4" s="59">
        <f>D4*0.8/12</f>
        <v>40.032000000000004</v>
      </c>
      <c r="H4" s="59">
        <f>E4*0.6/12</f>
        <v>6.1674299999999995</v>
      </c>
      <c r="I4" s="59">
        <f>E4*0.4/12</f>
        <v>4.1116199999999994</v>
      </c>
      <c r="J4" s="59">
        <f>E4*0.2/12</f>
        <v>2.0558099999999997</v>
      </c>
      <c r="K4" s="59">
        <f>E4*0</f>
        <v>0</v>
      </c>
      <c r="L4" s="59">
        <f>4138-M4-N4-200</f>
        <v>3767</v>
      </c>
      <c r="M4" s="59">
        <v>138</v>
      </c>
      <c r="N4" s="59">
        <v>33</v>
      </c>
      <c r="O4" s="59"/>
      <c r="P4" s="59"/>
      <c r="Q4" s="59"/>
      <c r="R4" s="59"/>
      <c r="S4" s="62">
        <f>((E4*L4)+(F4*M4)+(G4*N4)+(H4*O4)+(I4*P4)+(J4*Q4)+(K4*R4))*3</f>
        <v>1418642.2566</v>
      </c>
    </row>
    <row r="5" spans="1:19" x14ac:dyDescent="0.3">
      <c r="A5" s="281"/>
      <c r="B5" s="60" t="s">
        <v>96</v>
      </c>
      <c r="C5" s="59">
        <v>1.3560000000000001</v>
      </c>
      <c r="D5" s="59">
        <v>600.48</v>
      </c>
      <c r="E5" s="59">
        <f t="shared" ref="E5:E8" si="0">D5/12*1*C5</f>
        <v>67.854240000000004</v>
      </c>
      <c r="F5" s="59">
        <f t="shared" ref="F5:F8" si="1">D5*1/12</f>
        <v>50.04</v>
      </c>
      <c r="G5" s="59">
        <f t="shared" ref="G5:G8" si="2">D5*0.8/12</f>
        <v>40.032000000000004</v>
      </c>
      <c r="H5" s="59">
        <f t="shared" ref="H5:H8" si="3">E5*0.6/12</f>
        <v>3.392712</v>
      </c>
      <c r="I5" s="59">
        <f t="shared" ref="I5:I8" si="4">E5*0.4/12</f>
        <v>2.2618080000000003</v>
      </c>
      <c r="J5" s="59">
        <f t="shared" ref="J5:J8" si="5">E5*0.2/12</f>
        <v>1.1309040000000001</v>
      </c>
      <c r="K5" s="59">
        <f t="shared" ref="K5:K8" si="6">E5*0</f>
        <v>0</v>
      </c>
      <c r="L5" s="59">
        <f>8139-M5-N5-100-100</f>
        <v>7556</v>
      </c>
      <c r="M5" s="59">
        <v>313</v>
      </c>
      <c r="N5" s="59">
        <v>70</v>
      </c>
      <c r="O5" s="59"/>
      <c r="P5" s="59"/>
      <c r="Q5" s="59"/>
      <c r="R5" s="59"/>
      <c r="S5" s="62">
        <f t="shared" ref="S5:S8" si="7">((E5*L5)+(F5*M5)+(G5*N5)+(H5*O5)+(I5*P5)+(J5*Q5)+(K5*R5))*3</f>
        <v>1593514.1923199999</v>
      </c>
    </row>
    <row r="6" spans="1:19" x14ac:dyDescent="0.3">
      <c r="A6" s="281"/>
      <c r="B6" s="59" t="s">
        <v>97</v>
      </c>
      <c r="C6" s="59">
        <v>0.61599999999999999</v>
      </c>
      <c r="D6" s="59">
        <v>600.48</v>
      </c>
      <c r="E6" s="59">
        <f t="shared" si="0"/>
        <v>30.824639999999999</v>
      </c>
      <c r="F6" s="59">
        <f t="shared" si="1"/>
        <v>50.04</v>
      </c>
      <c r="G6" s="59">
        <f t="shared" si="2"/>
        <v>40.032000000000004</v>
      </c>
      <c r="H6" s="59">
        <f t="shared" si="3"/>
        <v>1.5412319999999999</v>
      </c>
      <c r="I6" s="59">
        <f t="shared" si="4"/>
        <v>1.027488</v>
      </c>
      <c r="J6" s="59">
        <f t="shared" si="5"/>
        <v>0.51374399999999998</v>
      </c>
      <c r="K6" s="59">
        <f t="shared" si="6"/>
        <v>0</v>
      </c>
      <c r="L6" s="59">
        <f>15236-M6-N6-500</f>
        <v>14056</v>
      </c>
      <c r="M6" s="59">
        <v>543</v>
      </c>
      <c r="N6" s="59">
        <v>137</v>
      </c>
      <c r="O6" s="59"/>
      <c r="P6" s="59"/>
      <c r="Q6" s="59"/>
      <c r="R6" s="59"/>
      <c r="S6" s="62">
        <f t="shared" si="7"/>
        <v>1397781.7315199999</v>
      </c>
    </row>
    <row r="7" spans="1:19" x14ac:dyDescent="0.3">
      <c r="A7" s="281"/>
      <c r="B7" s="59" t="s">
        <v>98</v>
      </c>
      <c r="C7" s="59">
        <v>0.73899999999999999</v>
      </c>
      <c r="D7" s="59">
        <v>600.48</v>
      </c>
      <c r="E7" s="59">
        <f t="shared" si="0"/>
        <v>36.979559999999999</v>
      </c>
      <c r="F7" s="59">
        <f t="shared" si="1"/>
        <v>50.04</v>
      </c>
      <c r="G7" s="59">
        <f t="shared" si="2"/>
        <v>40.032000000000004</v>
      </c>
      <c r="H7" s="59">
        <f t="shared" si="3"/>
        <v>1.8489779999999998</v>
      </c>
      <c r="I7" s="59">
        <f t="shared" si="4"/>
        <v>1.2326520000000001</v>
      </c>
      <c r="J7" s="59">
        <f t="shared" si="5"/>
        <v>0.61632600000000004</v>
      </c>
      <c r="K7" s="59">
        <f t="shared" si="6"/>
        <v>0</v>
      </c>
      <c r="L7" s="59">
        <f>19633-M7-N7-300</f>
        <v>18469</v>
      </c>
      <c r="M7" s="59">
        <v>714</v>
      </c>
      <c r="N7" s="59">
        <v>150</v>
      </c>
      <c r="O7" s="59"/>
      <c r="P7" s="59"/>
      <c r="Q7" s="59"/>
      <c r="R7" s="59"/>
      <c r="S7" s="62">
        <f t="shared" si="7"/>
        <v>2174126.5609200001</v>
      </c>
    </row>
    <row r="8" spans="1:19" x14ac:dyDescent="0.3">
      <c r="A8" s="282"/>
      <c r="B8" s="59" t="s">
        <v>99</v>
      </c>
      <c r="C8" s="59">
        <v>1.232</v>
      </c>
      <c r="D8" s="59">
        <v>600.48</v>
      </c>
      <c r="E8" s="59">
        <f t="shared" si="0"/>
        <v>61.649279999999997</v>
      </c>
      <c r="F8" s="59">
        <f t="shared" si="1"/>
        <v>50.04</v>
      </c>
      <c r="G8" s="59">
        <f t="shared" si="2"/>
        <v>40.032000000000004</v>
      </c>
      <c r="H8" s="59">
        <f t="shared" si="3"/>
        <v>3.0824639999999999</v>
      </c>
      <c r="I8" s="59">
        <f t="shared" si="4"/>
        <v>2.0549759999999999</v>
      </c>
      <c r="J8" s="59">
        <f t="shared" si="5"/>
        <v>1.027488</v>
      </c>
      <c r="K8" s="59">
        <f t="shared" si="6"/>
        <v>0</v>
      </c>
      <c r="L8" s="59">
        <f>11484-M8-N8-700+10+5</f>
        <v>10338</v>
      </c>
      <c r="M8" s="59">
        <v>394</v>
      </c>
      <c r="N8" s="59">
        <v>67</v>
      </c>
      <c r="O8" s="59"/>
      <c r="P8" s="59"/>
      <c r="Q8" s="59"/>
      <c r="R8" s="59"/>
      <c r="S8" s="62">
        <f t="shared" si="7"/>
        <v>1979184.4819199997</v>
      </c>
    </row>
    <row r="9" spans="1:19" x14ac:dyDescent="0.3">
      <c r="B9" s="61"/>
      <c r="S9" s="63">
        <f>S4+S5+S6+S7+S8</f>
        <v>8563249.2232799996</v>
      </c>
    </row>
    <row r="11" spans="1:19" ht="57.6" x14ac:dyDescent="0.3">
      <c r="A11" s="280" t="s">
        <v>107</v>
      </c>
      <c r="B11" s="58" t="s">
        <v>89</v>
      </c>
      <c r="C11" s="58" t="s">
        <v>90</v>
      </c>
      <c r="D11" s="58" t="s">
        <v>91</v>
      </c>
      <c r="E11" s="58" t="s">
        <v>92</v>
      </c>
      <c r="F11" s="58" t="s">
        <v>100</v>
      </c>
      <c r="G11" s="58" t="s">
        <v>101</v>
      </c>
      <c r="H11" s="58" t="s">
        <v>102</v>
      </c>
      <c r="I11" s="58" t="s">
        <v>103</v>
      </c>
      <c r="J11" s="58" t="s">
        <v>104</v>
      </c>
      <c r="K11" s="58" t="s">
        <v>105</v>
      </c>
      <c r="L11" s="58" t="s">
        <v>94</v>
      </c>
      <c r="M11" s="58" t="s">
        <v>133</v>
      </c>
      <c r="N11" s="58" t="s">
        <v>134</v>
      </c>
      <c r="O11" s="58" t="s">
        <v>135</v>
      </c>
      <c r="P11" s="58" t="s">
        <v>136</v>
      </c>
      <c r="Q11" s="58" t="s">
        <v>137</v>
      </c>
      <c r="R11" s="58" t="s">
        <v>138</v>
      </c>
      <c r="S11" s="58" t="s">
        <v>93</v>
      </c>
    </row>
    <row r="12" spans="1:19" x14ac:dyDescent="0.3">
      <c r="A12" s="281"/>
      <c r="B12" s="59" t="s">
        <v>95</v>
      </c>
      <c r="C12" s="59">
        <v>2.4649999999999999</v>
      </c>
      <c r="D12" s="59">
        <v>600.48</v>
      </c>
      <c r="E12" s="59">
        <f>D12/12*1*C12</f>
        <v>123.34859999999999</v>
      </c>
      <c r="F12" s="59">
        <f>D12*1/12</f>
        <v>50.04</v>
      </c>
      <c r="G12" s="59">
        <f>D12*0.8/12</f>
        <v>40.032000000000004</v>
      </c>
      <c r="H12" s="59">
        <f>E12*0.6/12</f>
        <v>6.1674299999999995</v>
      </c>
      <c r="I12" s="59">
        <f>E12*0.4/12</f>
        <v>4.1116199999999994</v>
      </c>
      <c r="J12" s="59">
        <f>E12*0.2/12</f>
        <v>2.0558099999999997</v>
      </c>
      <c r="K12" s="59">
        <f>E12*0</f>
        <v>0</v>
      </c>
      <c r="L12" s="59">
        <v>3781</v>
      </c>
      <c r="M12" s="59">
        <v>138</v>
      </c>
      <c r="N12" s="59">
        <v>33</v>
      </c>
      <c r="O12" s="59"/>
      <c r="P12" s="59"/>
      <c r="Q12" s="59"/>
      <c r="R12" s="59"/>
      <c r="S12" s="62">
        <f>((E12*L12)+(F12*M12)+(G12*N12)+(H12*O12)+(I12*P12)+(J12*Q12)+(K12*R12))*3</f>
        <v>1423822.8977999999</v>
      </c>
    </row>
    <row r="13" spans="1:19" x14ac:dyDescent="0.3">
      <c r="A13" s="281"/>
      <c r="B13" s="60" t="s">
        <v>96</v>
      </c>
      <c r="C13" s="59">
        <v>1.3560000000000001</v>
      </c>
      <c r="D13" s="59">
        <v>600.48</v>
      </c>
      <c r="E13" s="59">
        <f t="shared" ref="E13:E16" si="8">D13/12*1*C13</f>
        <v>67.854240000000004</v>
      </c>
      <c r="F13" s="59">
        <f t="shared" ref="F13:F16" si="9">D13*1/12</f>
        <v>50.04</v>
      </c>
      <c r="G13" s="59">
        <f t="shared" ref="G13:G16" si="10">D13*0.8/12</f>
        <v>40.032000000000004</v>
      </c>
      <c r="H13" s="59">
        <f t="shared" ref="H13:H16" si="11">E13*0.6/12</f>
        <v>3.392712</v>
      </c>
      <c r="I13" s="59">
        <f t="shared" ref="I13:I16" si="12">E13*0.4/12</f>
        <v>2.2618080000000003</v>
      </c>
      <c r="J13" s="59">
        <f t="shared" ref="J13:J16" si="13">E13*0.2/12</f>
        <v>1.1309040000000001</v>
      </c>
      <c r="K13" s="59">
        <f t="shared" ref="K13:K16" si="14">E13*0</f>
        <v>0</v>
      </c>
      <c r="L13" s="59">
        <v>7565</v>
      </c>
      <c r="M13" s="59">
        <v>313</v>
      </c>
      <c r="N13" s="59">
        <v>70</v>
      </c>
      <c r="O13" s="59"/>
      <c r="P13" s="59"/>
      <c r="Q13" s="59"/>
      <c r="R13" s="59"/>
      <c r="S13" s="62">
        <f t="shared" ref="S13:S16" si="15">((E13*L13)+(F13*M13)+(G13*N13)+(H13*O13)+(I13*P13)+(J13*Q13)+(K13*R13))*3</f>
        <v>1595346.2568000001</v>
      </c>
    </row>
    <row r="14" spans="1:19" x14ac:dyDescent="0.3">
      <c r="A14" s="281"/>
      <c r="B14" s="59" t="s">
        <v>97</v>
      </c>
      <c r="C14" s="59">
        <v>0.61599999999999999</v>
      </c>
      <c r="D14" s="59">
        <v>600.48</v>
      </c>
      <c r="E14" s="59">
        <f t="shared" si="8"/>
        <v>30.824639999999999</v>
      </c>
      <c r="F14" s="59">
        <f t="shared" si="9"/>
        <v>50.04</v>
      </c>
      <c r="G14" s="59">
        <f t="shared" si="10"/>
        <v>40.032000000000004</v>
      </c>
      <c r="H14" s="59">
        <f t="shared" si="11"/>
        <v>1.5412319999999999</v>
      </c>
      <c r="I14" s="59">
        <f t="shared" si="12"/>
        <v>1.027488</v>
      </c>
      <c r="J14" s="59">
        <f t="shared" si="13"/>
        <v>0.51374399999999998</v>
      </c>
      <c r="K14" s="59">
        <f t="shared" si="14"/>
        <v>0</v>
      </c>
      <c r="L14" s="59">
        <v>14509</v>
      </c>
      <c r="M14" s="59">
        <v>543</v>
      </c>
      <c r="N14" s="59">
        <v>137</v>
      </c>
      <c r="O14" s="59"/>
      <c r="P14" s="59"/>
      <c r="Q14" s="59"/>
      <c r="R14" s="59"/>
      <c r="S14" s="62">
        <f t="shared" si="15"/>
        <v>1439672.4172799999</v>
      </c>
    </row>
    <row r="15" spans="1:19" x14ac:dyDescent="0.3">
      <c r="A15" s="281"/>
      <c r="B15" s="59" t="s">
        <v>98</v>
      </c>
      <c r="C15" s="59">
        <v>0.73899999999999999</v>
      </c>
      <c r="D15" s="59">
        <v>600.48</v>
      </c>
      <c r="E15" s="59">
        <f t="shared" si="8"/>
        <v>36.979559999999999</v>
      </c>
      <c r="F15" s="59">
        <f t="shared" si="9"/>
        <v>50.04</v>
      </c>
      <c r="G15" s="59">
        <f t="shared" si="10"/>
        <v>40.032000000000004</v>
      </c>
      <c r="H15" s="59">
        <f t="shared" si="11"/>
        <v>1.8489779999999998</v>
      </c>
      <c r="I15" s="59">
        <f t="shared" si="12"/>
        <v>1.2326520000000001</v>
      </c>
      <c r="J15" s="59">
        <f t="shared" si="13"/>
        <v>0.61632600000000004</v>
      </c>
      <c r="K15" s="59">
        <f t="shared" si="14"/>
        <v>0</v>
      </c>
      <c r="L15" s="59">
        <v>18569</v>
      </c>
      <c r="M15" s="59">
        <v>714</v>
      </c>
      <c r="N15" s="59">
        <v>150</v>
      </c>
      <c r="O15" s="59"/>
      <c r="P15" s="59"/>
      <c r="Q15" s="59"/>
      <c r="R15" s="59"/>
      <c r="S15" s="62">
        <f t="shared" si="15"/>
        <v>2185220.4289200003</v>
      </c>
    </row>
    <row r="16" spans="1:19" x14ac:dyDescent="0.3">
      <c r="A16" s="282"/>
      <c r="B16" s="59" t="s">
        <v>99</v>
      </c>
      <c r="C16" s="59">
        <v>1.232</v>
      </c>
      <c r="D16" s="59">
        <v>600.48</v>
      </c>
      <c r="E16" s="59">
        <f t="shared" si="8"/>
        <v>61.649279999999997</v>
      </c>
      <c r="F16" s="59">
        <f t="shared" si="9"/>
        <v>50.04</v>
      </c>
      <c r="G16" s="59">
        <f t="shared" si="10"/>
        <v>40.032000000000004</v>
      </c>
      <c r="H16" s="59">
        <f t="shared" si="11"/>
        <v>3.0824639999999999</v>
      </c>
      <c r="I16" s="59">
        <f t="shared" si="12"/>
        <v>2.0549759999999999</v>
      </c>
      <c r="J16" s="59">
        <f t="shared" si="13"/>
        <v>1.027488</v>
      </c>
      <c r="K16" s="59">
        <f t="shared" si="14"/>
        <v>0</v>
      </c>
      <c r="L16" s="59">
        <v>11000</v>
      </c>
      <c r="M16" s="59">
        <v>394</v>
      </c>
      <c r="N16" s="59">
        <v>67</v>
      </c>
      <c r="O16" s="59"/>
      <c r="P16" s="59"/>
      <c r="Q16" s="59"/>
      <c r="R16" s="59"/>
      <c r="S16" s="62">
        <f t="shared" si="15"/>
        <v>2101619.9519999996</v>
      </c>
    </row>
    <row r="17" spans="1:20" x14ac:dyDescent="0.3">
      <c r="S17" s="63">
        <f>S12+S13+S14+S15+S16</f>
        <v>8745681.9528000001</v>
      </c>
    </row>
    <row r="18" spans="1:20" x14ac:dyDescent="0.3">
      <c r="T18" s="135"/>
    </row>
    <row r="19" spans="1:20" ht="57.6" x14ac:dyDescent="0.3">
      <c r="A19" s="280" t="s">
        <v>108</v>
      </c>
      <c r="B19" s="58" t="s">
        <v>89</v>
      </c>
      <c r="C19" s="58" t="s">
        <v>90</v>
      </c>
      <c r="D19" s="58" t="s">
        <v>91</v>
      </c>
      <c r="E19" s="58" t="s">
        <v>92</v>
      </c>
      <c r="F19" s="58" t="s">
        <v>100</v>
      </c>
      <c r="G19" s="58" t="s">
        <v>101</v>
      </c>
      <c r="H19" s="58" t="s">
        <v>102</v>
      </c>
      <c r="I19" s="58" t="s">
        <v>103</v>
      </c>
      <c r="J19" s="58" t="s">
        <v>104</v>
      </c>
      <c r="K19" s="58" t="s">
        <v>105</v>
      </c>
      <c r="L19" s="58" t="s">
        <v>94</v>
      </c>
      <c r="M19" s="58" t="s">
        <v>133</v>
      </c>
      <c r="N19" s="58" t="s">
        <v>134</v>
      </c>
      <c r="O19" s="58" t="s">
        <v>135</v>
      </c>
      <c r="P19" s="58" t="s">
        <v>136</v>
      </c>
      <c r="Q19" s="58" t="s">
        <v>137</v>
      </c>
      <c r="R19" s="58" t="s">
        <v>138</v>
      </c>
      <c r="S19" s="58" t="s">
        <v>93</v>
      </c>
    </row>
    <row r="20" spans="1:20" x14ac:dyDescent="0.3">
      <c r="A20" s="281"/>
      <c r="B20" s="59" t="s">
        <v>95</v>
      </c>
      <c r="C20" s="59">
        <v>2.4649999999999999</v>
      </c>
      <c r="D20" s="59">
        <v>600.48</v>
      </c>
      <c r="E20" s="59">
        <f>D20/12*1*C20</f>
        <v>123.34859999999999</v>
      </c>
      <c r="F20" s="59">
        <f>D20*1/12</f>
        <v>50.04</v>
      </c>
      <c r="G20" s="59">
        <f>D20*0.8/12</f>
        <v>40.032000000000004</v>
      </c>
      <c r="H20" s="59">
        <f>E20*0.6/12</f>
        <v>6.1674299999999995</v>
      </c>
      <c r="I20" s="59">
        <f>E20*0.4/12</f>
        <v>4.1116199999999994</v>
      </c>
      <c r="J20" s="59">
        <f>E20*0.2/12</f>
        <v>2.0558099999999997</v>
      </c>
      <c r="K20" s="59">
        <f>E20*0</f>
        <v>0</v>
      </c>
      <c r="L20" s="59">
        <v>3818</v>
      </c>
      <c r="M20" s="59">
        <v>138</v>
      </c>
      <c r="N20" s="59">
        <v>33</v>
      </c>
      <c r="O20" s="59"/>
      <c r="P20" s="59"/>
      <c r="Q20" s="59"/>
      <c r="R20" s="59"/>
      <c r="S20" s="62">
        <f t="shared" ref="S20:S24" si="16">((E20*L20)+(F20*M20)+(G20*N20)+(H20*O20)+(I20*P20)+(J20*Q20)+(K20*R20))*3</f>
        <v>1437514.5924</v>
      </c>
    </row>
    <row r="21" spans="1:20" x14ac:dyDescent="0.3">
      <c r="A21" s="281"/>
      <c r="B21" s="60" t="s">
        <v>96</v>
      </c>
      <c r="C21" s="59">
        <v>1.3560000000000001</v>
      </c>
      <c r="D21" s="59">
        <v>600.48</v>
      </c>
      <c r="E21" s="59">
        <f t="shared" ref="E21:E24" si="17">D21/12*1*C21</f>
        <v>67.854240000000004</v>
      </c>
      <c r="F21" s="59">
        <f t="shared" ref="F21:F24" si="18">D21*1/12</f>
        <v>50.04</v>
      </c>
      <c r="G21" s="59">
        <f t="shared" ref="G21:G24" si="19">D21*0.8/12</f>
        <v>40.032000000000004</v>
      </c>
      <c r="H21" s="59">
        <f t="shared" ref="H21:H24" si="20">E21*0.6/12</f>
        <v>3.392712</v>
      </c>
      <c r="I21" s="59">
        <f t="shared" ref="I21:I24" si="21">E21*0.4/12</f>
        <v>2.2618080000000003</v>
      </c>
      <c r="J21" s="59">
        <f t="shared" ref="J21:J24" si="22">E21*0.2/12</f>
        <v>1.1309040000000001</v>
      </c>
      <c r="K21" s="59">
        <f t="shared" ref="K21:K24" si="23">E21*0</f>
        <v>0</v>
      </c>
      <c r="L21" s="59">
        <v>7440</v>
      </c>
      <c r="M21" s="59">
        <v>313</v>
      </c>
      <c r="N21" s="59">
        <v>70</v>
      </c>
      <c r="O21" s="59"/>
      <c r="P21" s="59"/>
      <c r="Q21" s="59"/>
      <c r="R21" s="59"/>
      <c r="S21" s="62">
        <f t="shared" si="16"/>
        <v>1569900.9168</v>
      </c>
    </row>
    <row r="22" spans="1:20" x14ac:dyDescent="0.3">
      <c r="A22" s="281"/>
      <c r="B22" s="59" t="s">
        <v>97</v>
      </c>
      <c r="C22" s="59">
        <v>0.61599999999999999</v>
      </c>
      <c r="D22" s="59">
        <v>600.48</v>
      </c>
      <c r="E22" s="59">
        <f t="shared" si="17"/>
        <v>30.824639999999999</v>
      </c>
      <c r="F22" s="59">
        <f t="shared" si="18"/>
        <v>50.04</v>
      </c>
      <c r="G22" s="59">
        <f t="shared" si="19"/>
        <v>40.032000000000004</v>
      </c>
      <c r="H22" s="59">
        <f t="shared" si="20"/>
        <v>1.5412319999999999</v>
      </c>
      <c r="I22" s="59">
        <f t="shared" si="21"/>
        <v>1.027488</v>
      </c>
      <c r="J22" s="59">
        <f t="shared" si="22"/>
        <v>0.51374399999999998</v>
      </c>
      <c r="K22" s="59">
        <f t="shared" si="23"/>
        <v>0</v>
      </c>
      <c r="L22" s="59">
        <v>14654</v>
      </c>
      <c r="M22" s="59">
        <v>543</v>
      </c>
      <c r="N22" s="59">
        <v>137</v>
      </c>
      <c r="O22" s="59"/>
      <c r="P22" s="59"/>
      <c r="Q22" s="59"/>
      <c r="R22" s="59"/>
      <c r="S22" s="62">
        <f t="shared" si="16"/>
        <v>1453081.1356800001</v>
      </c>
    </row>
    <row r="23" spans="1:20" x14ac:dyDescent="0.3">
      <c r="A23" s="281"/>
      <c r="B23" s="59" t="s">
        <v>98</v>
      </c>
      <c r="C23" s="59">
        <v>0.73899999999999999</v>
      </c>
      <c r="D23" s="59">
        <v>600.48</v>
      </c>
      <c r="E23" s="59">
        <f t="shared" si="17"/>
        <v>36.979559999999999</v>
      </c>
      <c r="F23" s="59">
        <f t="shared" si="18"/>
        <v>50.04</v>
      </c>
      <c r="G23" s="59">
        <f t="shared" si="19"/>
        <v>40.032000000000004</v>
      </c>
      <c r="H23" s="59">
        <f t="shared" si="20"/>
        <v>1.8489779999999998</v>
      </c>
      <c r="I23" s="59">
        <f t="shared" si="21"/>
        <v>1.2326520000000001</v>
      </c>
      <c r="J23" s="59">
        <f t="shared" si="22"/>
        <v>0.61632600000000004</v>
      </c>
      <c r="K23" s="59">
        <f t="shared" si="23"/>
        <v>0</v>
      </c>
      <c r="L23" s="59">
        <v>18754</v>
      </c>
      <c r="M23" s="59">
        <v>714</v>
      </c>
      <c r="N23" s="59">
        <v>150</v>
      </c>
      <c r="O23" s="59"/>
      <c r="P23" s="59"/>
      <c r="Q23" s="59"/>
      <c r="R23" s="59"/>
      <c r="S23" s="62">
        <f t="shared" si="16"/>
        <v>2205744.0847200006</v>
      </c>
    </row>
    <row r="24" spans="1:20" x14ac:dyDescent="0.3">
      <c r="A24" s="282"/>
      <c r="B24" s="59" t="s">
        <v>99</v>
      </c>
      <c r="C24" s="59">
        <v>1.232</v>
      </c>
      <c r="D24" s="59">
        <v>600.48</v>
      </c>
      <c r="E24" s="59">
        <f t="shared" si="17"/>
        <v>61.649279999999997</v>
      </c>
      <c r="F24" s="59">
        <f t="shared" si="18"/>
        <v>50.04</v>
      </c>
      <c r="G24" s="59">
        <f t="shared" si="19"/>
        <v>40.032000000000004</v>
      </c>
      <c r="H24" s="59">
        <f t="shared" si="20"/>
        <v>3.0824639999999999</v>
      </c>
      <c r="I24" s="59">
        <f t="shared" si="21"/>
        <v>2.0549759999999999</v>
      </c>
      <c r="J24" s="59">
        <f t="shared" si="22"/>
        <v>1.027488</v>
      </c>
      <c r="K24" s="59">
        <f t="shared" si="23"/>
        <v>0</v>
      </c>
      <c r="L24" s="59">
        <f>11110-18</f>
        <v>11092</v>
      </c>
      <c r="M24" s="59">
        <v>394</v>
      </c>
      <c r="N24" s="59">
        <v>67</v>
      </c>
      <c r="O24" s="59"/>
      <c r="P24" s="59"/>
      <c r="Q24" s="59"/>
      <c r="R24" s="59"/>
      <c r="S24" s="62">
        <f t="shared" si="16"/>
        <v>2118635.1532799997</v>
      </c>
    </row>
    <row r="25" spans="1:20" x14ac:dyDescent="0.3">
      <c r="S25" s="63">
        <f>S20+S21+S22+S24+S23</f>
        <v>8784875.8828800004</v>
      </c>
    </row>
    <row r="27" spans="1:20" ht="57.6" x14ac:dyDescent="0.3">
      <c r="A27" s="280" t="s">
        <v>109</v>
      </c>
      <c r="B27" s="58" t="s">
        <v>89</v>
      </c>
      <c r="C27" s="58" t="s">
        <v>90</v>
      </c>
      <c r="D27" s="58" t="s">
        <v>91</v>
      </c>
      <c r="E27" s="58" t="s">
        <v>92</v>
      </c>
      <c r="F27" s="58" t="s">
        <v>100</v>
      </c>
      <c r="G27" s="58" t="s">
        <v>101</v>
      </c>
      <c r="H27" s="58" t="s">
        <v>102</v>
      </c>
      <c r="I27" s="58" t="s">
        <v>103</v>
      </c>
      <c r="J27" s="58" t="s">
        <v>104</v>
      </c>
      <c r="K27" s="58" t="s">
        <v>105</v>
      </c>
      <c r="L27" s="58" t="s">
        <v>94</v>
      </c>
      <c r="M27" s="58" t="s">
        <v>133</v>
      </c>
      <c r="N27" s="58" t="s">
        <v>134</v>
      </c>
      <c r="O27" s="58" t="s">
        <v>135</v>
      </c>
      <c r="P27" s="58" t="s">
        <v>136</v>
      </c>
      <c r="Q27" s="58" t="s">
        <v>137</v>
      </c>
      <c r="R27" s="58" t="s">
        <v>138</v>
      </c>
      <c r="S27" s="58" t="s">
        <v>93</v>
      </c>
    </row>
    <row r="28" spans="1:20" x14ac:dyDescent="0.3">
      <c r="A28" s="281"/>
      <c r="B28" s="59" t="s">
        <v>95</v>
      </c>
      <c r="C28" s="59">
        <v>2.4649999999999999</v>
      </c>
      <c r="D28" s="59">
        <v>634.55999999999995</v>
      </c>
      <c r="E28" s="59">
        <f>D28/12*1*C28</f>
        <v>130.34919999999997</v>
      </c>
      <c r="F28" s="59">
        <f>D28*1/12</f>
        <v>52.879999999999995</v>
      </c>
      <c r="G28" s="59">
        <f>D28*0.8/12</f>
        <v>42.303999999999995</v>
      </c>
      <c r="H28" s="59">
        <f>E28*0.6/12</f>
        <v>6.5174599999999989</v>
      </c>
      <c r="I28" s="59">
        <f>E28*0.4/12</f>
        <v>4.3449733333333329</v>
      </c>
      <c r="J28" s="59">
        <f>E28*0.2/12</f>
        <v>2.1724866666666665</v>
      </c>
      <c r="K28" s="59">
        <f>E28*0</f>
        <v>0</v>
      </c>
      <c r="L28" s="59">
        <v>3746</v>
      </c>
      <c r="M28" s="59">
        <v>138</v>
      </c>
      <c r="N28" s="59">
        <v>38</v>
      </c>
      <c r="O28" s="59"/>
      <c r="P28" s="59"/>
      <c r="Q28" s="59"/>
      <c r="R28" s="59"/>
      <c r="S28" s="62">
        <f t="shared" ref="S28:S32" si="24">((E28*L28)+(F28*M28)+(G28*N28)+(H28*O28)+(I28*P28)+(J28*Q28)+(K28*R28))*3</f>
        <v>1491579.2855999998</v>
      </c>
    </row>
    <row r="29" spans="1:20" x14ac:dyDescent="0.3">
      <c r="A29" s="281"/>
      <c r="B29" s="60" t="s">
        <v>96</v>
      </c>
      <c r="C29" s="59">
        <v>1.3560000000000001</v>
      </c>
      <c r="D29" s="59">
        <v>634.55999999999995</v>
      </c>
      <c r="E29" s="59">
        <f t="shared" ref="E29:E32" si="25">D29/12*1*C29</f>
        <v>71.705280000000002</v>
      </c>
      <c r="F29" s="59">
        <f t="shared" ref="F29:F32" si="26">D29*1/12</f>
        <v>52.879999999999995</v>
      </c>
      <c r="G29" s="59">
        <f t="shared" ref="G29:G32" si="27">D29*0.8/12</f>
        <v>42.303999999999995</v>
      </c>
      <c r="H29" s="59">
        <f t="shared" ref="H29:H32" si="28">E29*0.6/12</f>
        <v>3.585264</v>
      </c>
      <c r="I29" s="59">
        <f t="shared" ref="I29:I32" si="29">E29*0.4/12</f>
        <v>2.3901760000000003</v>
      </c>
      <c r="J29" s="59">
        <f t="shared" ref="J29:J32" si="30">E29*0.2/12</f>
        <v>1.1950880000000002</v>
      </c>
      <c r="K29" s="59">
        <f t="shared" ref="K29:K32" si="31">E29*0</f>
        <v>0</v>
      </c>
      <c r="L29" s="59">
        <v>7366</v>
      </c>
      <c r="M29" s="59">
        <v>313</v>
      </c>
      <c r="N29" s="59">
        <v>70</v>
      </c>
      <c r="O29" s="59"/>
      <c r="P29" s="59"/>
      <c r="Q29" s="59"/>
      <c r="R29" s="59"/>
      <c r="S29" s="62">
        <f t="shared" si="24"/>
        <v>1643081.43744</v>
      </c>
    </row>
    <row r="30" spans="1:20" x14ac:dyDescent="0.3">
      <c r="A30" s="281"/>
      <c r="B30" s="59" t="s">
        <v>97</v>
      </c>
      <c r="C30" s="59">
        <v>0.61599999999999999</v>
      </c>
      <c r="D30" s="59">
        <v>634.55999999999995</v>
      </c>
      <c r="E30" s="59">
        <f t="shared" si="25"/>
        <v>32.574079999999995</v>
      </c>
      <c r="F30" s="59">
        <f t="shared" si="26"/>
        <v>52.879999999999995</v>
      </c>
      <c r="G30" s="59">
        <f t="shared" si="27"/>
        <v>42.303999999999995</v>
      </c>
      <c r="H30" s="59">
        <f t="shared" si="28"/>
        <v>1.6287039999999997</v>
      </c>
      <c r="I30" s="59">
        <f t="shared" si="29"/>
        <v>1.0858026666666667</v>
      </c>
      <c r="J30" s="59">
        <f t="shared" si="30"/>
        <v>0.54290133333333335</v>
      </c>
      <c r="K30" s="59">
        <f t="shared" si="31"/>
        <v>0</v>
      </c>
      <c r="L30" s="59">
        <v>14110</v>
      </c>
      <c r="M30" s="59">
        <v>543</v>
      </c>
      <c r="N30" s="59">
        <v>138</v>
      </c>
      <c r="O30" s="59"/>
      <c r="P30" s="59"/>
      <c r="Q30" s="59"/>
      <c r="R30" s="59"/>
      <c r="S30" s="62">
        <f t="shared" si="24"/>
        <v>1482516.1823999998</v>
      </c>
    </row>
    <row r="31" spans="1:20" x14ac:dyDescent="0.3">
      <c r="A31" s="281"/>
      <c r="B31" s="59" t="s">
        <v>98</v>
      </c>
      <c r="C31" s="59">
        <v>0.73899999999999999</v>
      </c>
      <c r="D31" s="59">
        <v>634.55999999999995</v>
      </c>
      <c r="E31" s="59">
        <f t="shared" si="25"/>
        <v>39.078319999999998</v>
      </c>
      <c r="F31" s="59">
        <f t="shared" si="26"/>
        <v>52.879999999999995</v>
      </c>
      <c r="G31" s="59">
        <f t="shared" si="27"/>
        <v>42.303999999999995</v>
      </c>
      <c r="H31" s="59">
        <f t="shared" si="28"/>
        <v>1.9539159999999998</v>
      </c>
      <c r="I31" s="59">
        <f t="shared" si="29"/>
        <v>1.3026106666666666</v>
      </c>
      <c r="J31" s="59">
        <f t="shared" si="30"/>
        <v>0.65130533333333329</v>
      </c>
      <c r="K31" s="59">
        <f t="shared" si="31"/>
        <v>0</v>
      </c>
      <c r="L31" s="59">
        <f>17900+5-10-30-5-1+100</f>
        <v>17959</v>
      </c>
      <c r="M31" s="59">
        <v>714</v>
      </c>
      <c r="N31" s="59">
        <v>146</v>
      </c>
      <c r="O31" s="59"/>
      <c r="P31" s="59"/>
      <c r="Q31" s="59"/>
      <c r="R31" s="59"/>
      <c r="S31" s="62">
        <f t="shared" si="24"/>
        <v>2237220.7586399997</v>
      </c>
    </row>
    <row r="32" spans="1:20" x14ac:dyDescent="0.3">
      <c r="A32" s="282"/>
      <c r="B32" s="59" t="s">
        <v>99</v>
      </c>
      <c r="C32" s="59">
        <v>1.232</v>
      </c>
      <c r="D32" s="59">
        <v>634.55999999999995</v>
      </c>
      <c r="E32" s="59">
        <f t="shared" si="25"/>
        <v>65.14815999999999</v>
      </c>
      <c r="F32" s="59">
        <f t="shared" si="26"/>
        <v>52.879999999999995</v>
      </c>
      <c r="G32" s="59">
        <f t="shared" si="27"/>
        <v>42.303999999999995</v>
      </c>
      <c r="H32" s="59">
        <f t="shared" si="28"/>
        <v>3.2574079999999994</v>
      </c>
      <c r="I32" s="59">
        <f t="shared" si="29"/>
        <v>2.1716053333333334</v>
      </c>
      <c r="J32" s="59">
        <f t="shared" si="30"/>
        <v>1.0858026666666667</v>
      </c>
      <c r="K32" s="59">
        <f t="shared" si="31"/>
        <v>0</v>
      </c>
      <c r="L32" s="59">
        <v>10500</v>
      </c>
      <c r="M32" s="59">
        <v>394</v>
      </c>
      <c r="N32" s="59">
        <v>67</v>
      </c>
      <c r="O32" s="59"/>
      <c r="P32" s="59"/>
      <c r="Q32" s="59"/>
      <c r="R32" s="59"/>
      <c r="S32" s="62">
        <f t="shared" si="24"/>
        <v>2123174.3039999995</v>
      </c>
    </row>
    <row r="33" spans="1:19" x14ac:dyDescent="0.3">
      <c r="S33" s="63">
        <f>S28+S29+S30+S31+S32</f>
        <v>8977571.9680799991</v>
      </c>
    </row>
    <row r="36" spans="1:19" x14ac:dyDescent="0.3">
      <c r="A36" s="280" t="s">
        <v>110</v>
      </c>
      <c r="B36" s="58" t="s">
        <v>89</v>
      </c>
      <c r="C36" s="59" t="s">
        <v>111</v>
      </c>
      <c r="D36" s="59" t="s">
        <v>112</v>
      </c>
      <c r="E36" s="59"/>
      <c r="F36" s="59"/>
      <c r="G36" s="59"/>
      <c r="L36" s="59" t="s">
        <v>113</v>
      </c>
      <c r="M36" s="59" t="s">
        <v>114</v>
      </c>
      <c r="N36" s="59" t="s">
        <v>110</v>
      </c>
    </row>
    <row r="37" spans="1:19" x14ac:dyDescent="0.3">
      <c r="A37" s="281"/>
      <c r="B37" s="59" t="s">
        <v>95</v>
      </c>
      <c r="C37" s="62">
        <f>S4</f>
        <v>1418642.2566</v>
      </c>
      <c r="D37" s="62">
        <f>S12</f>
        <v>1423822.8977999999</v>
      </c>
      <c r="E37" s="62"/>
      <c r="F37" s="62"/>
      <c r="G37" s="62"/>
      <c r="H37" s="64"/>
      <c r="I37" s="64"/>
      <c r="J37" s="64"/>
      <c r="K37" s="64"/>
      <c r="L37" s="62">
        <f>S20</f>
        <v>1437514.5924</v>
      </c>
      <c r="M37" s="62">
        <f>S28</f>
        <v>1491579.2855999998</v>
      </c>
      <c r="N37" s="62">
        <f>C37+D37+L37+M37</f>
        <v>5771559.0323999999</v>
      </c>
    </row>
    <row r="38" spans="1:19" x14ac:dyDescent="0.3">
      <c r="A38" s="281"/>
      <c r="B38" s="60" t="s">
        <v>96</v>
      </c>
      <c r="C38" s="62">
        <f>S5</f>
        <v>1593514.1923199999</v>
      </c>
      <c r="D38" s="62">
        <f>S13</f>
        <v>1595346.2568000001</v>
      </c>
      <c r="E38" s="62"/>
      <c r="F38" s="62"/>
      <c r="G38" s="62"/>
      <c r="H38" s="64"/>
      <c r="I38" s="64"/>
      <c r="J38" s="64"/>
      <c r="K38" s="64"/>
      <c r="L38" s="62">
        <f>S21</f>
        <v>1569900.9168</v>
      </c>
      <c r="M38" s="62">
        <f>S29</f>
        <v>1643081.43744</v>
      </c>
      <c r="N38" s="62">
        <f t="shared" ref="N38:N41" si="32">C38+D38+L38+M38</f>
        <v>6401842.8033600003</v>
      </c>
    </row>
    <row r="39" spans="1:19" x14ac:dyDescent="0.3">
      <c r="A39" s="281"/>
      <c r="B39" s="59" t="s">
        <v>97</v>
      </c>
      <c r="C39" s="62">
        <f>S22</f>
        <v>1453081.1356800001</v>
      </c>
      <c r="D39" s="62">
        <f>S14</f>
        <v>1439672.4172799999</v>
      </c>
      <c r="E39" s="62"/>
      <c r="F39" s="62"/>
      <c r="G39" s="62"/>
      <c r="H39" s="64"/>
      <c r="I39" s="64"/>
      <c r="J39" s="64"/>
      <c r="K39" s="64"/>
      <c r="L39" s="62">
        <f>S22</f>
        <v>1453081.1356800001</v>
      </c>
      <c r="M39" s="62">
        <f>S30</f>
        <v>1482516.1823999998</v>
      </c>
      <c r="N39" s="62">
        <f t="shared" si="32"/>
        <v>5828350.8710399996</v>
      </c>
    </row>
    <row r="40" spans="1:19" x14ac:dyDescent="0.3">
      <c r="A40" s="281"/>
      <c r="B40" s="59" t="s">
        <v>98</v>
      </c>
      <c r="C40" s="62">
        <f>S7</f>
        <v>2174126.5609200001</v>
      </c>
      <c r="D40" s="62">
        <f>S15</f>
        <v>2185220.4289200003</v>
      </c>
      <c r="E40" s="62"/>
      <c r="F40" s="62"/>
      <c r="G40" s="62"/>
      <c r="H40" s="64"/>
      <c r="I40" s="64"/>
      <c r="J40" s="64"/>
      <c r="K40" s="64"/>
      <c r="L40" s="62">
        <f>S23</f>
        <v>2205744.0847200006</v>
      </c>
      <c r="M40" s="62">
        <f>S31</f>
        <v>2237220.7586399997</v>
      </c>
      <c r="N40" s="62">
        <f t="shared" si="32"/>
        <v>8802311.8332000002</v>
      </c>
    </row>
    <row r="41" spans="1:19" x14ac:dyDescent="0.3">
      <c r="A41" s="282"/>
      <c r="B41" s="59" t="s">
        <v>99</v>
      </c>
      <c r="C41" s="62">
        <f>S8</f>
        <v>1979184.4819199997</v>
      </c>
      <c r="D41" s="62">
        <f>S16</f>
        <v>2101619.9519999996</v>
      </c>
      <c r="E41" s="62"/>
      <c r="F41" s="62"/>
      <c r="G41" s="62"/>
      <c r="H41" s="64"/>
      <c r="I41" s="64"/>
      <c r="J41" s="64"/>
      <c r="K41" s="64"/>
      <c r="L41" s="62">
        <f>S24</f>
        <v>2118635.1532799997</v>
      </c>
      <c r="M41" s="62">
        <f>S32</f>
        <v>2123174.3039999995</v>
      </c>
      <c r="N41" s="62">
        <f t="shared" si="32"/>
        <v>8322613.8911999986</v>
      </c>
    </row>
  </sheetData>
  <mergeCells count="5">
    <mergeCell ref="A3:A8"/>
    <mergeCell ref="A11:A16"/>
    <mergeCell ref="A19:A24"/>
    <mergeCell ref="A27:A32"/>
    <mergeCell ref="A36:A41"/>
  </mergeCells>
  <pageMargins left="0.70866141732283472" right="0.70866141732283472" top="0.74803149606299213" bottom="0.74803149606299213" header="0.31496062992125984" footer="0.31496062992125984"/>
  <pageSetup paperSize="9" scale="88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16" zoomScale="89" zoomScaleNormal="89" workbookViewId="0">
      <selection activeCell="L19" sqref="L19"/>
    </sheetView>
  </sheetViews>
  <sheetFormatPr defaultColWidth="9.109375" defaultRowHeight="18" x14ac:dyDescent="0.35"/>
  <cols>
    <col min="1" max="1" width="61.5546875" style="35" customWidth="1"/>
    <col min="2" max="2" width="10.6640625" style="35" customWidth="1"/>
    <col min="3" max="3" width="12.33203125" style="35" customWidth="1"/>
    <col min="4" max="4" width="12.109375" style="30" customWidth="1"/>
    <col min="5" max="5" width="13" style="30" customWidth="1"/>
    <col min="6" max="6" width="12.109375" style="158" customWidth="1"/>
    <col min="7" max="7" width="12.6640625" style="30" customWidth="1"/>
    <col min="8" max="8" width="12.5546875" style="30" customWidth="1"/>
    <col min="9" max="9" width="12.88671875" style="30" customWidth="1"/>
    <col min="10" max="10" width="13.44140625" style="30" customWidth="1"/>
    <col min="11" max="11" width="15.88671875" style="3" customWidth="1"/>
    <col min="12" max="12" width="9.109375" style="3"/>
    <col min="13" max="13" width="11.5546875" style="3" bestFit="1" customWidth="1"/>
    <col min="14" max="16384" width="9.109375" style="3"/>
  </cols>
  <sheetData>
    <row r="1" spans="1:20" ht="24.6" customHeight="1" x14ac:dyDescent="0.35">
      <c r="A1" s="14" t="s">
        <v>64</v>
      </c>
      <c r="B1" s="15"/>
      <c r="C1" s="283" t="s">
        <v>139</v>
      </c>
      <c r="D1" s="284"/>
      <c r="E1" s="284"/>
      <c r="F1" s="153"/>
      <c r="G1" s="16"/>
      <c r="H1" s="17"/>
      <c r="I1" s="17" t="s">
        <v>140</v>
      </c>
      <c r="J1" s="17"/>
      <c r="K1" s="5"/>
      <c r="L1" s="5"/>
      <c r="M1" s="5"/>
      <c r="N1" s="5"/>
      <c r="O1" s="5"/>
    </row>
    <row r="2" spans="1:20" ht="24.6" customHeight="1" x14ac:dyDescent="0.35">
      <c r="A2" s="14"/>
      <c r="B2" s="287" t="s">
        <v>42</v>
      </c>
      <c r="C2" s="287"/>
      <c r="D2" s="287"/>
      <c r="E2" s="287"/>
      <c r="F2" s="287"/>
      <c r="G2" s="287"/>
      <c r="H2" s="17"/>
      <c r="I2" s="17"/>
      <c r="J2" s="17"/>
      <c r="K2" s="5"/>
      <c r="L2" s="5"/>
      <c r="M2" s="5"/>
      <c r="N2" s="5"/>
      <c r="O2" s="5"/>
    </row>
    <row r="3" spans="1:20" ht="24.6" customHeight="1" x14ac:dyDescent="0.35">
      <c r="A3" s="288" t="s">
        <v>65</v>
      </c>
      <c r="B3" s="285" t="s">
        <v>66</v>
      </c>
      <c r="C3" s="285"/>
      <c r="D3" s="285"/>
      <c r="E3" s="285" t="s">
        <v>41</v>
      </c>
      <c r="F3" s="285"/>
      <c r="G3" s="285"/>
      <c r="H3" s="285" t="s">
        <v>67</v>
      </c>
      <c r="I3" s="285"/>
      <c r="J3" s="285"/>
      <c r="K3" s="18"/>
      <c r="L3" s="18"/>
      <c r="M3" s="18"/>
      <c r="N3" s="18"/>
      <c r="O3" s="18"/>
    </row>
    <row r="4" spans="1:20" ht="64.5" customHeight="1" x14ac:dyDescent="0.35">
      <c r="A4" s="288"/>
      <c r="B4" s="19" t="s">
        <v>68</v>
      </c>
      <c r="C4" s="19" t="s">
        <v>69</v>
      </c>
      <c r="D4" s="19" t="s">
        <v>70</v>
      </c>
      <c r="E4" s="19" t="s">
        <v>68</v>
      </c>
      <c r="F4" s="19" t="s">
        <v>69</v>
      </c>
      <c r="G4" s="19" t="s">
        <v>70</v>
      </c>
      <c r="H4" s="19" t="s">
        <v>68</v>
      </c>
      <c r="I4" s="19" t="s">
        <v>69</v>
      </c>
      <c r="J4" s="19" t="s">
        <v>70</v>
      </c>
      <c r="K4" s="20"/>
      <c r="L4" s="20"/>
      <c r="M4" s="20"/>
      <c r="N4" s="20"/>
      <c r="O4" s="20"/>
    </row>
    <row r="5" spans="1:20" ht="24.6" customHeight="1" x14ac:dyDescent="0.35">
      <c r="A5" s="21">
        <v>1</v>
      </c>
      <c r="B5" s="19">
        <v>2</v>
      </c>
      <c r="C5" s="19">
        <f>B5+1</f>
        <v>3</v>
      </c>
      <c r="D5" s="22">
        <f t="shared" ref="D5:J5" si="0">C5+1</f>
        <v>4</v>
      </c>
      <c r="E5" s="22">
        <f t="shared" si="0"/>
        <v>5</v>
      </c>
      <c r="F5" s="149">
        <f t="shared" si="0"/>
        <v>6</v>
      </c>
      <c r="G5" s="22">
        <f t="shared" si="0"/>
        <v>7</v>
      </c>
      <c r="H5" s="22">
        <f t="shared" si="0"/>
        <v>8</v>
      </c>
      <c r="I5" s="22">
        <f t="shared" si="0"/>
        <v>9</v>
      </c>
      <c r="J5" s="22">
        <f t="shared" si="0"/>
        <v>10</v>
      </c>
      <c r="K5" s="23"/>
      <c r="L5" s="23"/>
      <c r="M5" s="23"/>
      <c r="N5" s="23"/>
      <c r="O5" s="23"/>
    </row>
    <row r="6" spans="1:20" ht="24.6" customHeight="1" x14ac:dyDescent="0.35">
      <c r="A6" s="1" t="s">
        <v>71</v>
      </c>
      <c r="B6" s="138">
        <f>SUM(B7:B12)</f>
        <v>256.75</v>
      </c>
      <c r="C6" s="36">
        <f t="shared" ref="C6:J6" si="1">SUM(C7:C12)</f>
        <v>220.75</v>
      </c>
      <c r="D6" s="36">
        <f t="shared" si="1"/>
        <v>238.75</v>
      </c>
      <c r="E6" s="36">
        <f t="shared" si="1"/>
        <v>220.75</v>
      </c>
      <c r="F6" s="138">
        <f t="shared" si="1"/>
        <v>217.75</v>
      </c>
      <c r="G6" s="36">
        <f t="shared" si="1"/>
        <v>219.25</v>
      </c>
      <c r="H6" s="36">
        <f t="shared" si="1"/>
        <v>217.75</v>
      </c>
      <c r="I6" s="36">
        <f t="shared" si="1"/>
        <v>217.75</v>
      </c>
      <c r="J6" s="36">
        <f t="shared" si="1"/>
        <v>217.75</v>
      </c>
      <c r="K6" s="5"/>
      <c r="L6" s="5"/>
      <c r="M6" s="5"/>
      <c r="N6" s="5"/>
      <c r="O6" s="5"/>
    </row>
    <row r="7" spans="1:20" ht="24.6" customHeight="1" x14ac:dyDescent="0.35">
      <c r="A7" s="26" t="s">
        <v>115</v>
      </c>
      <c r="B7" s="110">
        <v>7</v>
      </c>
      <c r="C7" s="24">
        <v>7</v>
      </c>
      <c r="D7" s="24">
        <f>(B7+C7)/2</f>
        <v>7</v>
      </c>
      <c r="E7" s="24">
        <v>7</v>
      </c>
      <c r="F7" s="154">
        <v>7</v>
      </c>
      <c r="G7" s="24">
        <f>(E7+F7)/2</f>
        <v>7</v>
      </c>
      <c r="H7" s="25">
        <f>E7</f>
        <v>7</v>
      </c>
      <c r="I7" s="25">
        <f t="shared" ref="I7" si="2">F7</f>
        <v>7</v>
      </c>
      <c r="J7" s="25">
        <f>(H7+I7)/2</f>
        <v>7</v>
      </c>
      <c r="K7" s="5"/>
      <c r="L7" s="5"/>
      <c r="M7" s="5"/>
      <c r="N7" s="5"/>
      <c r="O7" s="5"/>
    </row>
    <row r="8" spans="1:20" ht="24.6" customHeight="1" x14ac:dyDescent="0.35">
      <c r="A8" s="26" t="s">
        <v>72</v>
      </c>
      <c r="B8" s="110">
        <v>84</v>
      </c>
      <c r="C8" s="24">
        <v>68</v>
      </c>
      <c r="D8" s="24">
        <f t="shared" ref="D8:D10" si="3">(B8+C8)/2</f>
        <v>76</v>
      </c>
      <c r="E8" s="24">
        <v>68</v>
      </c>
      <c r="F8" s="154">
        <v>65</v>
      </c>
      <c r="G8" s="24">
        <f t="shared" ref="G8:G10" si="4">(E8+F8)/2</f>
        <v>66.5</v>
      </c>
      <c r="H8" s="25">
        <v>65</v>
      </c>
      <c r="I8" s="25">
        <v>65</v>
      </c>
      <c r="J8" s="25">
        <f t="shared" ref="J8:J10" si="5">(H8+I8)/2</f>
        <v>65</v>
      </c>
      <c r="K8" s="5"/>
      <c r="L8" s="5"/>
      <c r="M8" s="5"/>
      <c r="N8" s="5"/>
      <c r="O8" s="5"/>
    </row>
    <row r="9" spans="1:20" ht="24.6" customHeight="1" x14ac:dyDescent="0.35">
      <c r="A9" s="26" t="s">
        <v>73</v>
      </c>
      <c r="B9" s="110">
        <v>91.25</v>
      </c>
      <c r="C9" s="24">
        <v>84.5</v>
      </c>
      <c r="D9" s="24">
        <f t="shared" si="3"/>
        <v>87.875</v>
      </c>
      <c r="E9" s="24">
        <v>84.5</v>
      </c>
      <c r="F9" s="154">
        <v>84.5</v>
      </c>
      <c r="G9" s="24">
        <f t="shared" si="4"/>
        <v>84.5</v>
      </c>
      <c r="H9" s="25">
        <v>84.5</v>
      </c>
      <c r="I9" s="25">
        <v>84.5</v>
      </c>
      <c r="J9" s="25">
        <f t="shared" si="5"/>
        <v>84.5</v>
      </c>
      <c r="K9" s="5"/>
      <c r="L9" s="5"/>
      <c r="M9" s="5"/>
      <c r="N9" s="5"/>
      <c r="O9" s="5"/>
    </row>
    <row r="10" spans="1:20" ht="24.6" customHeight="1" x14ac:dyDescent="0.35">
      <c r="A10" s="26" t="s">
        <v>74</v>
      </c>
      <c r="B10" s="110">
        <v>18</v>
      </c>
      <c r="C10" s="24">
        <v>16</v>
      </c>
      <c r="D10" s="24">
        <f t="shared" si="3"/>
        <v>17</v>
      </c>
      <c r="E10" s="24">
        <v>16</v>
      </c>
      <c r="F10" s="154">
        <v>16.5</v>
      </c>
      <c r="G10" s="24">
        <f t="shared" si="4"/>
        <v>16.25</v>
      </c>
      <c r="H10" s="25">
        <v>16.5</v>
      </c>
      <c r="I10" s="25">
        <v>16.5</v>
      </c>
      <c r="J10" s="25">
        <f t="shared" si="5"/>
        <v>16.5</v>
      </c>
      <c r="K10" s="5"/>
      <c r="L10" s="5"/>
      <c r="M10" s="5"/>
      <c r="N10" s="5"/>
      <c r="O10" s="5"/>
    </row>
    <row r="11" spans="1:20" ht="24.6" customHeight="1" x14ac:dyDescent="0.35">
      <c r="A11" s="26" t="s">
        <v>75</v>
      </c>
      <c r="B11" s="110">
        <v>37.5</v>
      </c>
      <c r="C11" s="24">
        <v>16.5</v>
      </c>
      <c r="D11" s="24">
        <v>17.75</v>
      </c>
      <c r="E11" s="24">
        <v>16.5</v>
      </c>
      <c r="F11" s="154">
        <v>16.5</v>
      </c>
      <c r="G11" s="24">
        <v>16.5</v>
      </c>
      <c r="H11" s="25">
        <v>16.5</v>
      </c>
      <c r="I11" s="25">
        <v>16.5</v>
      </c>
      <c r="J11" s="25">
        <v>16.5</v>
      </c>
      <c r="K11" s="148"/>
      <c r="L11" s="28"/>
      <c r="M11" s="28"/>
      <c r="N11" s="28"/>
      <c r="O11" s="28"/>
      <c r="P11" s="28"/>
      <c r="Q11" s="17"/>
      <c r="R11" s="17"/>
      <c r="S11" s="17"/>
      <c r="T11" s="5"/>
    </row>
    <row r="12" spans="1:20" ht="24.6" customHeight="1" x14ac:dyDescent="0.35">
      <c r="A12" s="26" t="s">
        <v>116</v>
      </c>
      <c r="B12" s="110">
        <v>19</v>
      </c>
      <c r="C12" s="24">
        <v>28.75</v>
      </c>
      <c r="D12" s="24">
        <v>33.125</v>
      </c>
      <c r="E12" s="24">
        <v>28.75</v>
      </c>
      <c r="F12" s="154">
        <v>28.25</v>
      </c>
      <c r="G12" s="24">
        <v>28.5</v>
      </c>
      <c r="H12" s="25">
        <v>28.25</v>
      </c>
      <c r="I12" s="25">
        <v>28.25</v>
      </c>
      <c r="J12" s="25">
        <v>28.25</v>
      </c>
      <c r="K12" s="5"/>
      <c r="L12" s="5"/>
      <c r="M12" s="5"/>
      <c r="N12" s="5"/>
      <c r="O12" s="5"/>
    </row>
    <row r="13" spans="1:20" ht="24.6" customHeight="1" x14ac:dyDescent="0.35">
      <c r="A13" s="1" t="s">
        <v>76</v>
      </c>
      <c r="B13" s="139">
        <f>SUM(B14:B19)</f>
        <v>214.75</v>
      </c>
      <c r="C13" s="36">
        <f t="shared" ref="C13:J13" si="6">SUM(C14:C19)</f>
        <v>187</v>
      </c>
      <c r="D13" s="36">
        <f t="shared" si="6"/>
        <v>200.875</v>
      </c>
      <c r="E13" s="36">
        <f t="shared" si="6"/>
        <v>176.75</v>
      </c>
      <c r="F13" s="138">
        <f t="shared" si="6"/>
        <v>173</v>
      </c>
      <c r="G13" s="36">
        <f t="shared" si="6"/>
        <v>174.875</v>
      </c>
      <c r="H13" s="36">
        <f t="shared" si="6"/>
        <v>180.5</v>
      </c>
      <c r="I13" s="36">
        <f t="shared" si="6"/>
        <v>180.5</v>
      </c>
      <c r="J13" s="36">
        <f t="shared" si="6"/>
        <v>180.5</v>
      </c>
      <c r="K13" s="5"/>
      <c r="L13" s="5"/>
      <c r="M13" s="5"/>
      <c r="N13" s="5"/>
      <c r="O13" s="5"/>
    </row>
    <row r="14" spans="1:20" ht="24.6" customHeight="1" x14ac:dyDescent="0.35">
      <c r="A14" s="26" t="s">
        <v>115</v>
      </c>
      <c r="B14" s="145">
        <v>6</v>
      </c>
      <c r="C14" s="143">
        <v>7</v>
      </c>
      <c r="D14" s="143">
        <f>(B14+C14)/2</f>
        <v>6.5</v>
      </c>
      <c r="E14" s="143">
        <v>6</v>
      </c>
      <c r="F14" s="145">
        <v>7</v>
      </c>
      <c r="G14" s="143">
        <f>(E14+F14)/2</f>
        <v>6.5</v>
      </c>
      <c r="H14" s="144">
        <v>7</v>
      </c>
      <c r="I14" s="144">
        <v>7</v>
      </c>
      <c r="J14" s="144">
        <f>(H14+I14)/2</f>
        <v>7</v>
      </c>
      <c r="K14" s="5"/>
      <c r="L14" s="5"/>
      <c r="M14" s="5"/>
      <c r="N14" s="5"/>
      <c r="O14" s="5"/>
    </row>
    <row r="15" spans="1:20" ht="24.6" customHeight="1" x14ac:dyDescent="0.35">
      <c r="A15" s="26" t="s">
        <v>72</v>
      </c>
      <c r="B15" s="145">
        <v>63.5</v>
      </c>
      <c r="C15" s="143">
        <v>57</v>
      </c>
      <c r="D15" s="143">
        <f t="shared" ref="D15:D17" si="7">(B15+C15)/2</f>
        <v>60.25</v>
      </c>
      <c r="E15" s="143">
        <v>50.5</v>
      </c>
      <c r="F15" s="145">
        <v>50.75</v>
      </c>
      <c r="G15" s="143">
        <f t="shared" ref="G15:G17" si="8">(E15+F15)/2</f>
        <v>50.625</v>
      </c>
      <c r="H15" s="144">
        <v>55.75</v>
      </c>
      <c r="I15" s="144">
        <v>55.75</v>
      </c>
      <c r="J15" s="144">
        <f t="shared" ref="J15:J17" si="9">(H15+I15)/2</f>
        <v>55.75</v>
      </c>
      <c r="K15" s="5"/>
      <c r="L15" s="5"/>
      <c r="M15" s="5"/>
      <c r="N15" s="5"/>
      <c r="O15" s="5"/>
    </row>
    <row r="16" spans="1:20" ht="24.6" customHeight="1" x14ac:dyDescent="0.35">
      <c r="A16" s="26" t="s">
        <v>73</v>
      </c>
      <c r="B16" s="145">
        <v>76</v>
      </c>
      <c r="C16" s="143">
        <v>64.75</v>
      </c>
      <c r="D16" s="143">
        <f t="shared" si="7"/>
        <v>70.375</v>
      </c>
      <c r="E16" s="143">
        <v>59.75</v>
      </c>
      <c r="F16" s="145">
        <v>60.5</v>
      </c>
      <c r="G16" s="143">
        <f t="shared" si="8"/>
        <v>60.125</v>
      </c>
      <c r="H16" s="144">
        <v>61.75</v>
      </c>
      <c r="I16" s="144">
        <v>61.75</v>
      </c>
      <c r="J16" s="144">
        <f t="shared" si="9"/>
        <v>61.75</v>
      </c>
      <c r="K16" s="5"/>
      <c r="L16" s="5"/>
      <c r="M16" s="5"/>
      <c r="N16" s="5"/>
      <c r="O16" s="5"/>
    </row>
    <row r="17" spans="1:15" ht="24.6" customHeight="1" x14ac:dyDescent="0.35">
      <c r="A17" s="26" t="s">
        <v>74</v>
      </c>
      <c r="B17" s="145">
        <v>15.5</v>
      </c>
      <c r="C17" s="143">
        <v>15.5</v>
      </c>
      <c r="D17" s="143">
        <f t="shared" si="7"/>
        <v>15.5</v>
      </c>
      <c r="E17" s="143">
        <v>17.5</v>
      </c>
      <c r="F17" s="145">
        <v>15.5</v>
      </c>
      <c r="G17" s="143">
        <f t="shared" si="8"/>
        <v>16.5</v>
      </c>
      <c r="H17" s="144">
        <v>15.5</v>
      </c>
      <c r="I17" s="144">
        <v>15.5</v>
      </c>
      <c r="J17" s="144">
        <f t="shared" si="9"/>
        <v>15.5</v>
      </c>
      <c r="K17" s="5"/>
      <c r="L17" s="5"/>
      <c r="M17" s="5"/>
      <c r="N17" s="5"/>
      <c r="O17" s="5"/>
    </row>
    <row r="18" spans="1:15" ht="24.6" customHeight="1" x14ac:dyDescent="0.35">
      <c r="A18" s="26" t="s">
        <v>75</v>
      </c>
      <c r="B18" s="145">
        <v>36.75</v>
      </c>
      <c r="C18" s="143">
        <v>27.75</v>
      </c>
      <c r="D18" s="143">
        <v>32.25</v>
      </c>
      <c r="E18" s="143">
        <v>17.25</v>
      </c>
      <c r="F18" s="145">
        <v>15</v>
      </c>
      <c r="G18" s="143">
        <v>16.125</v>
      </c>
      <c r="H18" s="144">
        <v>15</v>
      </c>
      <c r="I18" s="144">
        <v>15</v>
      </c>
      <c r="J18" s="144">
        <v>15</v>
      </c>
      <c r="K18" s="5"/>
      <c r="L18" s="5"/>
      <c r="M18" s="5"/>
      <c r="N18" s="5"/>
      <c r="O18" s="5"/>
    </row>
    <row r="19" spans="1:15" ht="24.6" customHeight="1" x14ac:dyDescent="0.35">
      <c r="A19" s="26" t="s">
        <v>116</v>
      </c>
      <c r="B19" s="145">
        <v>17</v>
      </c>
      <c r="C19" s="143">
        <v>15</v>
      </c>
      <c r="D19" s="143">
        <v>16</v>
      </c>
      <c r="E19" s="143">
        <v>25.75</v>
      </c>
      <c r="F19" s="145">
        <v>24.25</v>
      </c>
      <c r="G19" s="143">
        <v>25</v>
      </c>
      <c r="H19" s="144">
        <v>25.5</v>
      </c>
      <c r="I19" s="144">
        <v>25.5</v>
      </c>
      <c r="J19" s="144">
        <v>25.5</v>
      </c>
      <c r="K19" s="5"/>
      <c r="L19" s="5"/>
      <c r="M19" s="5"/>
      <c r="N19" s="5"/>
      <c r="O19" s="5"/>
    </row>
    <row r="20" spans="1:15" ht="24.6" customHeight="1" x14ac:dyDescent="0.35">
      <c r="A20" s="1" t="s">
        <v>77</v>
      </c>
      <c r="B20" s="138">
        <f>SUM(B21:B26)</f>
        <v>192</v>
      </c>
      <c r="C20" s="36">
        <f t="shared" ref="C20:J20" si="10">SUM(C21:C26)</f>
        <v>169</v>
      </c>
      <c r="D20" s="36">
        <f t="shared" si="10"/>
        <v>180.5</v>
      </c>
      <c r="E20" s="36">
        <f t="shared" si="10"/>
        <v>168</v>
      </c>
      <c r="F20" s="138">
        <f t="shared" si="10"/>
        <v>159</v>
      </c>
      <c r="G20" s="36">
        <f t="shared" si="10"/>
        <v>163.5</v>
      </c>
      <c r="H20" s="36">
        <f t="shared" si="10"/>
        <v>168</v>
      </c>
      <c r="I20" s="36">
        <f t="shared" si="10"/>
        <v>159</v>
      </c>
      <c r="J20" s="36">
        <f t="shared" si="10"/>
        <v>163.5</v>
      </c>
      <c r="K20" s="5"/>
      <c r="L20" s="5"/>
      <c r="M20" s="5"/>
      <c r="N20" s="5"/>
      <c r="O20" s="5"/>
    </row>
    <row r="21" spans="1:15" ht="24.6" customHeight="1" x14ac:dyDescent="0.35">
      <c r="A21" s="26" t="s">
        <v>115</v>
      </c>
      <c r="B21" s="142">
        <v>6</v>
      </c>
      <c r="C21" s="146">
        <v>7</v>
      </c>
      <c r="D21" s="9">
        <f>(B21+C21)/2</f>
        <v>6.5</v>
      </c>
      <c r="E21" s="146">
        <v>7</v>
      </c>
      <c r="F21" s="19">
        <v>7</v>
      </c>
      <c r="G21" s="9">
        <f t="shared" ref="G21:G26" si="11">(E21+F21)/2</f>
        <v>7</v>
      </c>
      <c r="H21" s="9">
        <f>E21</f>
        <v>7</v>
      </c>
      <c r="I21" s="9">
        <f t="shared" ref="I21:J26" si="12">F21</f>
        <v>7</v>
      </c>
      <c r="J21" s="9">
        <f t="shared" si="12"/>
        <v>7</v>
      </c>
      <c r="K21" s="5"/>
      <c r="L21" s="5"/>
      <c r="M21" s="5"/>
      <c r="N21" s="5"/>
      <c r="O21" s="5"/>
    </row>
    <row r="22" spans="1:15" ht="24.6" customHeight="1" x14ac:dyDescent="0.35">
      <c r="A22" s="26" t="s">
        <v>72</v>
      </c>
      <c r="B22" s="142">
        <v>52</v>
      </c>
      <c r="C22" s="146">
        <v>48</v>
      </c>
      <c r="D22" s="9">
        <f t="shared" ref="D22:D26" si="13">(B22+C22)/2</f>
        <v>50</v>
      </c>
      <c r="E22" s="146">
        <v>47</v>
      </c>
      <c r="F22" s="19">
        <v>45</v>
      </c>
      <c r="G22" s="9">
        <f t="shared" si="11"/>
        <v>46</v>
      </c>
      <c r="H22" s="9">
        <f t="shared" ref="H22:H26" si="14">E22</f>
        <v>47</v>
      </c>
      <c r="I22" s="9">
        <f t="shared" si="12"/>
        <v>45</v>
      </c>
      <c r="J22" s="9">
        <f t="shared" si="12"/>
        <v>46</v>
      </c>
      <c r="K22" s="5"/>
      <c r="L22" s="5"/>
      <c r="M22" s="5"/>
      <c r="N22" s="5"/>
      <c r="O22" s="5"/>
    </row>
    <row r="23" spans="1:15" ht="24.6" customHeight="1" x14ac:dyDescent="0.35">
      <c r="A23" s="26" t="s">
        <v>73</v>
      </c>
      <c r="B23" s="142">
        <v>67</v>
      </c>
      <c r="C23" s="146">
        <v>57</v>
      </c>
      <c r="D23" s="9">
        <f t="shared" si="13"/>
        <v>62</v>
      </c>
      <c r="E23" s="146">
        <v>57</v>
      </c>
      <c r="F23" s="19">
        <v>55</v>
      </c>
      <c r="G23" s="9">
        <f t="shared" si="11"/>
        <v>56</v>
      </c>
      <c r="H23" s="9">
        <f t="shared" si="14"/>
        <v>57</v>
      </c>
      <c r="I23" s="9">
        <f t="shared" si="12"/>
        <v>55</v>
      </c>
      <c r="J23" s="9">
        <f t="shared" si="12"/>
        <v>56</v>
      </c>
      <c r="K23" s="5"/>
      <c r="L23" s="5"/>
      <c r="M23" s="5"/>
      <c r="N23" s="5"/>
      <c r="O23" s="5"/>
    </row>
    <row r="24" spans="1:15" ht="24.6" customHeight="1" x14ac:dyDescent="0.35">
      <c r="A24" s="26" t="s">
        <v>74</v>
      </c>
      <c r="B24" s="142">
        <v>16</v>
      </c>
      <c r="C24" s="146">
        <v>16</v>
      </c>
      <c r="D24" s="9">
        <f t="shared" si="13"/>
        <v>16</v>
      </c>
      <c r="E24" s="146">
        <v>16</v>
      </c>
      <c r="F24" s="19">
        <v>16</v>
      </c>
      <c r="G24" s="9">
        <f t="shared" si="11"/>
        <v>16</v>
      </c>
      <c r="H24" s="9">
        <f t="shared" si="14"/>
        <v>16</v>
      </c>
      <c r="I24" s="9">
        <f t="shared" si="12"/>
        <v>16</v>
      </c>
      <c r="J24" s="9">
        <f t="shared" si="12"/>
        <v>16</v>
      </c>
      <c r="K24" s="5"/>
      <c r="L24" s="5"/>
      <c r="M24" s="5"/>
      <c r="N24" s="5"/>
      <c r="O24" s="5"/>
    </row>
    <row r="25" spans="1:15" ht="24.6" customHeight="1" x14ac:dyDescent="0.35">
      <c r="A25" s="26" t="s">
        <v>75</v>
      </c>
      <c r="B25" s="142">
        <v>14</v>
      </c>
      <c r="C25" s="146">
        <v>16</v>
      </c>
      <c r="D25" s="9">
        <f t="shared" si="13"/>
        <v>15</v>
      </c>
      <c r="E25" s="146">
        <v>16</v>
      </c>
      <c r="F25" s="19">
        <f>19-3</f>
        <v>16</v>
      </c>
      <c r="G25" s="9">
        <f t="shared" si="11"/>
        <v>16</v>
      </c>
      <c r="H25" s="9">
        <f t="shared" si="14"/>
        <v>16</v>
      </c>
      <c r="I25" s="9">
        <f t="shared" si="12"/>
        <v>16</v>
      </c>
      <c r="J25" s="9">
        <f t="shared" si="12"/>
        <v>16</v>
      </c>
      <c r="K25" s="5"/>
      <c r="L25" s="5"/>
      <c r="M25" s="5"/>
      <c r="N25" s="5"/>
      <c r="O25" s="5"/>
    </row>
    <row r="26" spans="1:15" ht="24.6" customHeight="1" x14ac:dyDescent="0.35">
      <c r="A26" s="26" t="s">
        <v>116</v>
      </c>
      <c r="B26" s="142">
        <v>37</v>
      </c>
      <c r="C26" s="146">
        <v>25</v>
      </c>
      <c r="D26" s="9">
        <f t="shared" si="13"/>
        <v>31</v>
      </c>
      <c r="E26" s="146">
        <v>25</v>
      </c>
      <c r="F26" s="19">
        <v>20</v>
      </c>
      <c r="G26" s="9">
        <f t="shared" si="11"/>
        <v>22.5</v>
      </c>
      <c r="H26" s="9">
        <f t="shared" si="14"/>
        <v>25</v>
      </c>
      <c r="I26" s="9">
        <f t="shared" si="12"/>
        <v>20</v>
      </c>
      <c r="J26" s="9">
        <f t="shared" si="12"/>
        <v>22.5</v>
      </c>
      <c r="K26" s="5"/>
      <c r="L26" s="5"/>
      <c r="M26" s="5"/>
      <c r="N26" s="5"/>
      <c r="O26" s="5"/>
    </row>
    <row r="27" spans="1:15" ht="24.6" customHeight="1" x14ac:dyDescent="0.35">
      <c r="A27" s="1" t="s">
        <v>130</v>
      </c>
      <c r="B27" s="36"/>
      <c r="C27" s="36">
        <f t="shared" ref="C27:J27" si="15">C28+C29+C30+C31+C32+C33</f>
        <v>23484823.759999998</v>
      </c>
      <c r="D27" s="36">
        <f t="shared" si="15"/>
        <v>0</v>
      </c>
      <c r="E27" s="36">
        <f t="shared" si="15"/>
        <v>0</v>
      </c>
      <c r="F27" s="138">
        <f t="shared" si="15"/>
        <v>25973896.930000003</v>
      </c>
      <c r="G27" s="36">
        <f t="shared" si="15"/>
        <v>0</v>
      </c>
      <c r="H27" s="36">
        <f t="shared" si="15"/>
        <v>0</v>
      </c>
      <c r="I27" s="36">
        <f t="shared" si="15"/>
        <v>25973896.930000003</v>
      </c>
      <c r="J27" s="36">
        <f t="shared" si="15"/>
        <v>0</v>
      </c>
      <c r="K27" s="152"/>
      <c r="L27" s="5"/>
      <c r="M27" s="5"/>
      <c r="N27" s="5"/>
      <c r="O27" s="5"/>
    </row>
    <row r="28" spans="1:15" ht="24.6" customHeight="1" x14ac:dyDescent="0.35">
      <c r="A28" s="26" t="s">
        <v>115</v>
      </c>
      <c r="B28" s="10"/>
      <c r="C28" s="10">
        <v>1834790.29</v>
      </c>
      <c r="D28" s="10"/>
      <c r="E28" s="10"/>
      <c r="F28" s="110">
        <v>2554092.34</v>
      </c>
      <c r="G28" s="10"/>
      <c r="H28" s="10">
        <f>E28</f>
        <v>0</v>
      </c>
      <c r="I28" s="10">
        <f t="shared" ref="I28:J33" si="16">F28</f>
        <v>2554092.34</v>
      </c>
      <c r="J28" s="10">
        <f t="shared" si="16"/>
        <v>0</v>
      </c>
      <c r="K28" s="5"/>
      <c r="L28" s="5"/>
      <c r="M28" s="5"/>
      <c r="N28" s="5"/>
      <c r="O28" s="5"/>
    </row>
    <row r="29" spans="1:15" ht="24.6" customHeight="1" x14ac:dyDescent="0.35">
      <c r="A29" s="26" t="s">
        <v>72</v>
      </c>
      <c r="B29" s="10"/>
      <c r="C29" s="10">
        <f>8900591.38077859+44568.26-0.5</f>
        <v>8945159.14077859</v>
      </c>
      <c r="D29" s="10"/>
      <c r="E29" s="10"/>
      <c r="F29" s="110">
        <f>7644499.62+1243449.5+236891.34</f>
        <v>9124840.4600000009</v>
      </c>
      <c r="G29" s="10"/>
      <c r="H29" s="10">
        <f t="shared" ref="H29:H33" si="17">E29</f>
        <v>0</v>
      </c>
      <c r="I29" s="10">
        <f t="shared" si="16"/>
        <v>9124840.4600000009</v>
      </c>
      <c r="J29" s="10">
        <f t="shared" si="16"/>
        <v>0</v>
      </c>
      <c r="K29" s="5"/>
      <c r="L29" s="5"/>
      <c r="M29" s="5"/>
      <c r="N29" s="5"/>
      <c r="O29" s="5"/>
    </row>
    <row r="30" spans="1:15" ht="24.6" customHeight="1" x14ac:dyDescent="0.35">
      <c r="A30" s="26" t="s">
        <v>73</v>
      </c>
      <c r="B30" s="10"/>
      <c r="C30" s="10">
        <v>7237962.6338448822</v>
      </c>
      <c r="D30" s="10"/>
      <c r="E30" s="10"/>
      <c r="F30" s="110">
        <f>7928857.4+73500</f>
        <v>8002357.4000000004</v>
      </c>
      <c r="G30" s="10"/>
      <c r="H30" s="10">
        <f t="shared" si="17"/>
        <v>0</v>
      </c>
      <c r="I30" s="10">
        <f t="shared" si="16"/>
        <v>8002357.4000000004</v>
      </c>
      <c r="J30" s="10">
        <f t="shared" si="16"/>
        <v>0</v>
      </c>
      <c r="K30" s="5"/>
      <c r="L30" s="5"/>
      <c r="M30" s="5"/>
      <c r="N30" s="5"/>
      <c r="O30" s="5"/>
    </row>
    <row r="31" spans="1:15" ht="24.6" customHeight="1" x14ac:dyDescent="0.35">
      <c r="A31" s="26" t="s">
        <v>74</v>
      </c>
      <c r="B31" s="10"/>
      <c r="C31" s="10">
        <v>957699.24111579848</v>
      </c>
      <c r="D31" s="10"/>
      <c r="E31" s="10"/>
      <c r="F31" s="110">
        <f>1289591.31+11145</f>
        <v>1300736.31</v>
      </c>
      <c r="G31" s="10"/>
      <c r="H31" s="10">
        <f t="shared" si="17"/>
        <v>0</v>
      </c>
      <c r="I31" s="10">
        <f t="shared" si="16"/>
        <v>1300736.31</v>
      </c>
      <c r="J31" s="10">
        <f t="shared" si="16"/>
        <v>0</v>
      </c>
      <c r="K31" s="5"/>
      <c r="L31" s="5"/>
      <c r="M31" s="5"/>
      <c r="N31" s="5"/>
      <c r="O31" s="5"/>
    </row>
    <row r="32" spans="1:15" ht="24.6" customHeight="1" x14ac:dyDescent="0.35">
      <c r="A32" s="26" t="s">
        <v>75</v>
      </c>
      <c r="B32" s="10"/>
      <c r="C32" s="10">
        <v>2093989.4531911924</v>
      </c>
      <c r="D32" s="10"/>
      <c r="E32" s="10"/>
      <c r="F32" s="110">
        <f>2000016.07+629+477306.5</f>
        <v>2477951.5700000003</v>
      </c>
      <c r="G32" s="10"/>
      <c r="H32" s="10">
        <f t="shared" si="17"/>
        <v>0</v>
      </c>
      <c r="I32" s="10">
        <f t="shared" si="16"/>
        <v>2477951.5700000003</v>
      </c>
      <c r="J32" s="10">
        <f t="shared" si="16"/>
        <v>0</v>
      </c>
      <c r="K32" s="5"/>
      <c r="L32" s="5"/>
      <c r="M32" s="5"/>
      <c r="N32" s="5"/>
      <c r="O32" s="5"/>
    </row>
    <row r="33" spans="1:15" ht="24.6" customHeight="1" x14ac:dyDescent="0.35">
      <c r="A33" s="26" t="s">
        <v>116</v>
      </c>
      <c r="B33" s="10"/>
      <c r="C33" s="10">
        <v>2415223.0010695392</v>
      </c>
      <c r="D33" s="10"/>
      <c r="E33" s="10"/>
      <c r="F33" s="110">
        <f>2513918.85</f>
        <v>2513918.85</v>
      </c>
      <c r="G33" s="10"/>
      <c r="H33" s="10">
        <f t="shared" si="17"/>
        <v>0</v>
      </c>
      <c r="I33" s="10">
        <f t="shared" si="16"/>
        <v>2513918.85</v>
      </c>
      <c r="J33" s="10">
        <f t="shared" si="16"/>
        <v>0</v>
      </c>
      <c r="K33" s="5"/>
      <c r="L33" s="5"/>
      <c r="M33" s="5"/>
      <c r="N33" s="5"/>
      <c r="O33" s="5"/>
    </row>
    <row r="34" spans="1:15" ht="42.75" customHeight="1" x14ac:dyDescent="0.35">
      <c r="A34" s="1" t="s">
        <v>78</v>
      </c>
      <c r="B34" s="65">
        <f t="shared" ref="B34:B40" si="18">B27/B20/12</f>
        <v>0</v>
      </c>
      <c r="C34" s="65">
        <f t="shared" ref="C34:J34" si="19">C27/C20/12</f>
        <v>11580.287850098619</v>
      </c>
      <c r="D34" s="65">
        <f t="shared" si="19"/>
        <v>0</v>
      </c>
      <c r="E34" s="65">
        <f t="shared" si="19"/>
        <v>0</v>
      </c>
      <c r="F34" s="155">
        <f t="shared" si="19"/>
        <v>13613.153527253671</v>
      </c>
      <c r="G34" s="65">
        <f t="shared" si="19"/>
        <v>0</v>
      </c>
      <c r="H34" s="65">
        <f t="shared" si="19"/>
        <v>0</v>
      </c>
      <c r="I34" s="65">
        <f t="shared" si="19"/>
        <v>13613.153527253671</v>
      </c>
      <c r="J34" s="65">
        <f t="shared" si="19"/>
        <v>0</v>
      </c>
      <c r="K34" s="5"/>
      <c r="L34" s="5"/>
      <c r="M34" s="5"/>
      <c r="N34" s="5"/>
      <c r="O34" s="5"/>
    </row>
    <row r="35" spans="1:15" ht="42.75" customHeight="1" x14ac:dyDescent="0.35">
      <c r="A35" s="26" t="s">
        <v>115</v>
      </c>
      <c r="B35" s="65">
        <f t="shared" si="18"/>
        <v>0</v>
      </c>
      <c r="C35" s="65">
        <f t="shared" ref="C35:J35" si="20">C28/C21/12</f>
        <v>21842.741547619047</v>
      </c>
      <c r="D35" s="65">
        <f t="shared" si="20"/>
        <v>0</v>
      </c>
      <c r="E35" s="65">
        <f t="shared" si="20"/>
        <v>0</v>
      </c>
      <c r="F35" s="155">
        <f t="shared" si="20"/>
        <v>30405.861190476189</v>
      </c>
      <c r="G35" s="65">
        <f t="shared" si="20"/>
        <v>0</v>
      </c>
      <c r="H35" s="65">
        <f t="shared" si="20"/>
        <v>0</v>
      </c>
      <c r="I35" s="65">
        <f t="shared" si="20"/>
        <v>30405.861190476189</v>
      </c>
      <c r="J35" s="65">
        <f t="shared" si="20"/>
        <v>0</v>
      </c>
      <c r="K35" s="5"/>
      <c r="L35" s="5"/>
      <c r="M35" s="5"/>
      <c r="N35" s="5"/>
      <c r="O35" s="5"/>
    </row>
    <row r="36" spans="1:15" ht="42.75" customHeight="1" x14ac:dyDescent="0.35">
      <c r="A36" s="26" t="s">
        <v>72</v>
      </c>
      <c r="B36" s="65">
        <f t="shared" si="18"/>
        <v>0</v>
      </c>
      <c r="C36" s="65">
        <f t="shared" ref="C36:J36" si="21">C29/C22/12</f>
        <v>15529.790174962829</v>
      </c>
      <c r="D36" s="65">
        <f t="shared" si="21"/>
        <v>0</v>
      </c>
      <c r="E36" s="65">
        <f t="shared" si="21"/>
        <v>0</v>
      </c>
      <c r="F36" s="155">
        <f t="shared" si="21"/>
        <v>16897.852703703706</v>
      </c>
      <c r="G36" s="65">
        <f t="shared" si="21"/>
        <v>0</v>
      </c>
      <c r="H36" s="65">
        <f t="shared" si="21"/>
        <v>0</v>
      </c>
      <c r="I36" s="65">
        <f t="shared" si="21"/>
        <v>16897.852703703706</v>
      </c>
      <c r="J36" s="65">
        <f t="shared" si="21"/>
        <v>0</v>
      </c>
      <c r="K36" s="5"/>
      <c r="L36" s="5"/>
      <c r="M36" s="5"/>
      <c r="N36" s="5"/>
      <c r="O36" s="5"/>
    </row>
    <row r="37" spans="1:15" ht="42.75" customHeight="1" x14ac:dyDescent="0.35">
      <c r="A37" s="26" t="s">
        <v>73</v>
      </c>
      <c r="B37" s="65">
        <f t="shared" si="18"/>
        <v>0</v>
      </c>
      <c r="C37" s="65">
        <f t="shared" ref="C37:J37" si="22">C30/C23/12</f>
        <v>10581.816716147488</v>
      </c>
      <c r="D37" s="65">
        <f t="shared" si="22"/>
        <v>0</v>
      </c>
      <c r="E37" s="65">
        <f t="shared" si="22"/>
        <v>0</v>
      </c>
      <c r="F37" s="155">
        <f t="shared" si="22"/>
        <v>12124.783939393941</v>
      </c>
      <c r="G37" s="65">
        <f t="shared" si="22"/>
        <v>0</v>
      </c>
      <c r="H37" s="65">
        <f t="shared" si="22"/>
        <v>0</v>
      </c>
      <c r="I37" s="65">
        <f t="shared" si="22"/>
        <v>12124.783939393941</v>
      </c>
      <c r="J37" s="65">
        <f t="shared" si="22"/>
        <v>0</v>
      </c>
      <c r="K37" s="5"/>
      <c r="L37" s="5"/>
      <c r="M37" s="5"/>
      <c r="N37" s="5"/>
      <c r="O37" s="5"/>
    </row>
    <row r="38" spans="1:15" ht="42.75" customHeight="1" x14ac:dyDescent="0.35">
      <c r="A38" s="26" t="s">
        <v>74</v>
      </c>
      <c r="B38" s="65">
        <f t="shared" si="18"/>
        <v>0</v>
      </c>
      <c r="C38" s="65">
        <f t="shared" ref="C38:J38" si="23">C31/C24/12</f>
        <v>4988.0168808114504</v>
      </c>
      <c r="D38" s="65">
        <f t="shared" si="23"/>
        <v>0</v>
      </c>
      <c r="E38" s="65">
        <f t="shared" si="23"/>
        <v>0</v>
      </c>
      <c r="F38" s="155">
        <f t="shared" si="23"/>
        <v>6774.6682812500003</v>
      </c>
      <c r="G38" s="65">
        <f t="shared" si="23"/>
        <v>0</v>
      </c>
      <c r="H38" s="65">
        <f t="shared" si="23"/>
        <v>0</v>
      </c>
      <c r="I38" s="65">
        <f t="shared" si="23"/>
        <v>6774.6682812500003</v>
      </c>
      <c r="J38" s="65">
        <f t="shared" si="23"/>
        <v>0</v>
      </c>
      <c r="K38" s="5"/>
      <c r="L38" s="5"/>
      <c r="M38" s="5"/>
      <c r="N38" s="5"/>
      <c r="O38" s="5"/>
    </row>
    <row r="39" spans="1:15" ht="42.75" customHeight="1" x14ac:dyDescent="0.35">
      <c r="A39" s="26" t="s">
        <v>75</v>
      </c>
      <c r="B39" s="65">
        <f t="shared" si="18"/>
        <v>0</v>
      </c>
      <c r="C39" s="65">
        <f t="shared" ref="C39:J39" si="24">C32/C25/12</f>
        <v>10906.195068704126</v>
      </c>
      <c r="D39" s="65">
        <f t="shared" si="24"/>
        <v>0</v>
      </c>
      <c r="E39" s="65">
        <f t="shared" si="24"/>
        <v>0</v>
      </c>
      <c r="F39" s="155">
        <f t="shared" si="24"/>
        <v>12905.997760416669</v>
      </c>
      <c r="G39" s="65">
        <f t="shared" si="24"/>
        <v>0</v>
      </c>
      <c r="H39" s="65">
        <f t="shared" si="24"/>
        <v>0</v>
      </c>
      <c r="I39" s="65">
        <f t="shared" si="24"/>
        <v>12905.997760416669</v>
      </c>
      <c r="J39" s="65">
        <f t="shared" si="24"/>
        <v>0</v>
      </c>
      <c r="K39" s="5"/>
      <c r="L39" s="5"/>
      <c r="M39" s="5"/>
      <c r="N39" s="5"/>
      <c r="O39" s="5"/>
    </row>
    <row r="40" spans="1:15" ht="24.6" customHeight="1" x14ac:dyDescent="0.35">
      <c r="A40" s="26" t="s">
        <v>116</v>
      </c>
      <c r="B40" s="65">
        <f t="shared" si="18"/>
        <v>0</v>
      </c>
      <c r="C40" s="65">
        <f t="shared" ref="C40:J40" si="25">C33/C26/12</f>
        <v>8050.7433368984639</v>
      </c>
      <c r="D40" s="65">
        <f t="shared" si="25"/>
        <v>0</v>
      </c>
      <c r="E40" s="65">
        <f t="shared" si="25"/>
        <v>0</v>
      </c>
      <c r="F40" s="155">
        <f t="shared" si="25"/>
        <v>10474.661875</v>
      </c>
      <c r="G40" s="65">
        <f t="shared" si="25"/>
        <v>0</v>
      </c>
      <c r="H40" s="65">
        <f t="shared" si="25"/>
        <v>0</v>
      </c>
      <c r="I40" s="65">
        <f t="shared" si="25"/>
        <v>10474.661875</v>
      </c>
      <c r="J40" s="65">
        <f t="shared" si="25"/>
        <v>0</v>
      </c>
      <c r="K40" s="5"/>
      <c r="L40" s="5"/>
      <c r="M40" s="5"/>
      <c r="N40" s="5"/>
      <c r="O40" s="5"/>
    </row>
    <row r="41" spans="1:15" ht="24.6" customHeight="1" x14ac:dyDescent="0.35">
      <c r="A41" s="14"/>
      <c r="B41" s="12"/>
      <c r="C41" s="27"/>
      <c r="D41" s="28"/>
      <c r="E41" s="28"/>
      <c r="F41" s="156"/>
      <c r="G41" s="28"/>
      <c r="H41" s="17"/>
      <c r="I41" s="17"/>
      <c r="J41" s="17"/>
      <c r="K41" s="5"/>
      <c r="L41" s="5"/>
      <c r="M41" s="5"/>
      <c r="N41" s="5"/>
      <c r="O41" s="5"/>
    </row>
    <row r="42" spans="1:15" ht="18.600000000000001" customHeight="1" x14ac:dyDescent="0.35">
      <c r="A42" s="11"/>
      <c r="B42" s="12"/>
      <c r="C42" s="12"/>
      <c r="D42" s="29"/>
      <c r="E42" s="29"/>
      <c r="F42" s="156"/>
      <c r="G42" s="28"/>
    </row>
    <row r="43" spans="1:15" ht="21.75" customHeight="1" x14ac:dyDescent="0.35">
      <c r="A43" s="31" t="s">
        <v>88</v>
      </c>
      <c r="B43" s="7"/>
      <c r="C43" s="32"/>
      <c r="D43" s="33"/>
      <c r="E43" s="33"/>
      <c r="F43" s="157" t="s">
        <v>141</v>
      </c>
      <c r="G43" s="34"/>
    </row>
    <row r="44" spans="1:15" x14ac:dyDescent="0.35">
      <c r="A44" s="31"/>
      <c r="B44" s="7"/>
      <c r="C44" s="7" t="s">
        <v>10</v>
      </c>
      <c r="D44" s="33"/>
      <c r="E44" s="286" t="s">
        <v>79</v>
      </c>
      <c r="F44" s="286"/>
      <c r="G44" s="286"/>
    </row>
    <row r="45" spans="1:15" ht="13.95" customHeight="1" x14ac:dyDescent="0.35"/>
    <row r="46" spans="1:15" x14ac:dyDescent="0.35">
      <c r="A46" s="35" t="s">
        <v>156</v>
      </c>
    </row>
  </sheetData>
  <mergeCells count="7">
    <mergeCell ref="C1:E1"/>
    <mergeCell ref="H3:J3"/>
    <mergeCell ref="E44:G44"/>
    <mergeCell ref="B2:G2"/>
    <mergeCell ref="A3:A4"/>
    <mergeCell ref="B3:D3"/>
    <mergeCell ref="E3:G3"/>
  </mergeCells>
  <pageMargins left="0.82677165354330717" right="0.43307086614173229" top="0.74803149606299213" bottom="0.74803149606299213" header="0" footer="0"/>
  <pageSetup paperSize="9" scale="5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workbookViewId="0">
      <selection activeCell="G12" sqref="G12"/>
    </sheetView>
  </sheetViews>
  <sheetFormatPr defaultColWidth="9.109375" defaultRowHeight="18" x14ac:dyDescent="0.35"/>
  <cols>
    <col min="1" max="1" width="61.5546875" style="131" customWidth="1"/>
    <col min="2" max="2" width="7.109375" style="131" customWidth="1"/>
    <col min="3" max="3" width="16.109375" style="93" customWidth="1"/>
    <col min="4" max="4" width="15.6640625" style="93" customWidth="1"/>
    <col min="5" max="5" width="14.88671875" style="93" customWidth="1"/>
    <col min="6" max="6" width="13.44140625" style="93" customWidth="1"/>
    <col min="7" max="7" width="17.33203125" style="83" customWidth="1"/>
    <col min="8" max="8" width="18.44140625" style="3" customWidth="1"/>
    <col min="9" max="16384" width="9.109375" style="3"/>
  </cols>
  <sheetData>
    <row r="1" spans="1:8" ht="18.75" customHeight="1" x14ac:dyDescent="0.35">
      <c r="A1" s="90"/>
      <c r="B1" s="90"/>
      <c r="C1" s="91"/>
      <c r="D1" s="92"/>
    </row>
    <row r="2" spans="1:8" ht="13.95" customHeight="1" x14ac:dyDescent="0.35">
      <c r="A2" s="90"/>
      <c r="B2" s="90"/>
      <c r="C2" s="296"/>
      <c r="D2" s="296"/>
      <c r="E2" s="296"/>
      <c r="F2" s="296"/>
    </row>
    <row r="3" spans="1:8" ht="33" customHeight="1" x14ac:dyDescent="0.35">
      <c r="A3" s="297" t="s">
        <v>128</v>
      </c>
      <c r="B3" s="297"/>
      <c r="C3" s="297"/>
      <c r="D3" s="297"/>
      <c r="E3" s="297"/>
      <c r="F3" s="297"/>
    </row>
    <row r="4" spans="1:8" ht="20.399999999999999" customHeight="1" x14ac:dyDescent="0.35">
      <c r="A4" s="298" t="s">
        <v>139</v>
      </c>
      <c r="B4" s="298"/>
      <c r="C4" s="298"/>
      <c r="D4" s="298"/>
      <c r="E4" s="298"/>
      <c r="F4" s="298"/>
    </row>
    <row r="5" spans="1:8" ht="13.2" customHeight="1" x14ac:dyDescent="0.35">
      <c r="A5" s="299" t="s">
        <v>42</v>
      </c>
      <c r="B5" s="299"/>
      <c r="C5" s="299"/>
      <c r="D5" s="299"/>
      <c r="E5" s="299"/>
      <c r="F5" s="299"/>
    </row>
    <row r="6" spans="1:8" ht="17.399999999999999" customHeight="1" x14ac:dyDescent="0.35">
      <c r="A6" s="293" t="s">
        <v>158</v>
      </c>
      <c r="B6" s="293"/>
      <c r="C6" s="293"/>
      <c r="D6" s="293"/>
      <c r="E6" s="293"/>
      <c r="F6" s="293"/>
    </row>
    <row r="7" spans="1:8" ht="17.25" customHeight="1" x14ac:dyDescent="0.35">
      <c r="A7" s="94"/>
      <c r="B7" s="95"/>
      <c r="E7" s="96" t="s">
        <v>129</v>
      </c>
    </row>
    <row r="8" spans="1:8" ht="30" customHeight="1" x14ac:dyDescent="0.35">
      <c r="A8" s="294" t="s">
        <v>7</v>
      </c>
      <c r="B8" s="294" t="s">
        <v>0</v>
      </c>
      <c r="C8" s="295" t="s">
        <v>123</v>
      </c>
      <c r="D8" s="295"/>
      <c r="E8" s="295"/>
      <c r="F8" s="295"/>
    </row>
    <row r="9" spans="1:8" ht="21" customHeight="1" x14ac:dyDescent="0.35">
      <c r="A9" s="294"/>
      <c r="B9" s="294"/>
      <c r="C9" s="141" t="s">
        <v>124</v>
      </c>
      <c r="D9" s="97" t="s">
        <v>125</v>
      </c>
      <c r="E9" s="147" t="s">
        <v>126</v>
      </c>
      <c r="F9" s="97" t="s">
        <v>127</v>
      </c>
    </row>
    <row r="10" spans="1:8" ht="15" customHeight="1" x14ac:dyDescent="0.35">
      <c r="A10" s="74" t="s">
        <v>8</v>
      </c>
      <c r="B10" s="74" t="s">
        <v>9</v>
      </c>
      <c r="C10" s="19">
        <v>7</v>
      </c>
      <c r="D10" s="89">
        <v>8</v>
      </c>
      <c r="E10" s="89">
        <v>9</v>
      </c>
      <c r="F10" s="89">
        <v>10</v>
      </c>
    </row>
    <row r="11" spans="1:8" x14ac:dyDescent="0.35">
      <c r="A11" s="257" t="s">
        <v>60</v>
      </c>
      <c r="B11" s="258"/>
      <c r="C11" s="258"/>
      <c r="D11" s="258"/>
      <c r="E11" s="258"/>
      <c r="F11" s="289"/>
    </row>
    <row r="12" spans="1:8" ht="31.2" x14ac:dyDescent="0.35">
      <c r="A12" s="76" t="s">
        <v>11</v>
      </c>
      <c r="B12" s="98" t="s">
        <v>32</v>
      </c>
      <c r="C12" s="99">
        <f>'Додаток 1 (форма плану)'!C17+'Додаток 1 (форма плану)'!D17+'Додаток 1 (форма плану)'!E17+'Додаток 1 (форма плану)'!F17</f>
        <v>9468.8467818346799</v>
      </c>
      <c r="D12" s="150">
        <v>35071406.350000001</v>
      </c>
      <c r="E12" s="100">
        <f>C12-D12</f>
        <v>-35061937.503218167</v>
      </c>
      <c r="F12" s="100">
        <f>(D12/C12)*100%</f>
        <v>3703.8730436827896</v>
      </c>
    </row>
    <row r="13" spans="1:8" ht="31.2" x14ac:dyDescent="0.35">
      <c r="A13" s="76" t="s">
        <v>63</v>
      </c>
      <c r="B13" s="98" t="s">
        <v>33</v>
      </c>
      <c r="C13" s="99">
        <f>'Додаток 1 (форма плану)'!C19+'Додаток 1 (форма плану)'!D19+'Додаток 1 (форма плану)'!E19+'Додаток 1 (форма плану)'!F19</f>
        <v>1019.7479999999999</v>
      </c>
      <c r="D13" s="78">
        <f>D14+D15</f>
        <v>9793125.9000000004</v>
      </c>
      <c r="E13" s="100">
        <f t="shared" ref="E13:E77" si="0">C13-D13</f>
        <v>-9792106.1520000007</v>
      </c>
      <c r="F13" s="100">
        <f t="shared" ref="F13:F77" si="1">(D13/C13)*100%</f>
        <v>9603.4764471222315</v>
      </c>
      <c r="H13" s="68"/>
    </row>
    <row r="14" spans="1:8" x14ac:dyDescent="0.35">
      <c r="A14" s="67" t="s">
        <v>83</v>
      </c>
      <c r="B14" s="98" t="s">
        <v>34</v>
      </c>
      <c r="C14" s="99" t="e">
        <f>'Додаток 1 (форма плану)'!#REF!+'Додаток 1 (форма плану)'!#REF!+'Додаток 1 (форма плану)'!#REF!+'Додаток 1 (форма плану)'!#REF!</f>
        <v>#REF!</v>
      </c>
      <c r="D14" s="73">
        <f>D49</f>
        <v>9793125.9000000004</v>
      </c>
      <c r="E14" s="100" t="e">
        <f t="shared" si="0"/>
        <v>#REF!</v>
      </c>
      <c r="F14" s="100" t="e">
        <f t="shared" si="1"/>
        <v>#REF!</v>
      </c>
    </row>
    <row r="15" spans="1:8" x14ac:dyDescent="0.35">
      <c r="A15" s="67" t="s">
        <v>81</v>
      </c>
      <c r="B15" s="98" t="s">
        <v>35</v>
      </c>
      <c r="C15" s="99" t="e">
        <f>'Додаток 1 (форма плану)'!#REF!+'Додаток 1 (форма плану)'!#REF!+'Додаток 1 (форма плану)'!#REF!+'Додаток 1 (форма плану)'!#REF!</f>
        <v>#REF!</v>
      </c>
      <c r="D15" s="73">
        <v>0</v>
      </c>
      <c r="E15" s="100" t="e">
        <f t="shared" si="0"/>
        <v>#REF!</v>
      </c>
      <c r="F15" s="100" t="e">
        <f t="shared" si="1"/>
        <v>#REF!</v>
      </c>
    </row>
    <row r="16" spans="1:8" ht="31.2" x14ac:dyDescent="0.35">
      <c r="A16" s="76" t="s">
        <v>82</v>
      </c>
      <c r="B16" s="98" t="s">
        <v>36</v>
      </c>
      <c r="C16" s="99">
        <f>'Додаток 1 (форма плану)'!C20+'Додаток 1 (форма плану)'!D20+'Додаток 1 (форма плану)'!E20+'Додаток 1 (форма плану)'!F20</f>
        <v>11469.300849464275</v>
      </c>
      <c r="D16" s="78">
        <f t="shared" ref="D16" si="2">D17+D18</f>
        <v>0</v>
      </c>
      <c r="E16" s="100">
        <f t="shared" si="0"/>
        <v>11469.300849464275</v>
      </c>
      <c r="F16" s="100">
        <f t="shared" si="1"/>
        <v>0</v>
      </c>
    </row>
    <row r="17" spans="1:8" x14ac:dyDescent="0.35">
      <c r="A17" s="67" t="s">
        <v>83</v>
      </c>
      <c r="B17" s="98" t="s">
        <v>37</v>
      </c>
      <c r="C17" s="99">
        <f>'Додаток 1 (форма плану)'!C21+'Додаток 1 (форма плану)'!D21+'Додаток 1 (форма плану)'!E21+'Додаток 1 (форма плану)'!F21</f>
        <v>11107.701459927888</v>
      </c>
      <c r="D17" s="73"/>
      <c r="E17" s="100">
        <f t="shared" si="0"/>
        <v>11107.701459927888</v>
      </c>
      <c r="F17" s="100">
        <f t="shared" si="1"/>
        <v>0</v>
      </c>
    </row>
    <row r="18" spans="1:8" x14ac:dyDescent="0.35">
      <c r="A18" s="67" t="s">
        <v>81</v>
      </c>
      <c r="B18" s="98" t="s">
        <v>38</v>
      </c>
      <c r="C18" s="99">
        <f>'Додаток 1 (форма плану)'!C22+'Додаток 1 (форма плану)'!D22+'Додаток 1 (форма плану)'!E22+'Додаток 1 (форма плану)'!F22</f>
        <v>157.66276595744679</v>
      </c>
      <c r="D18" s="73"/>
      <c r="E18" s="100">
        <f t="shared" si="0"/>
        <v>157.66276595744679</v>
      </c>
      <c r="F18" s="100">
        <f t="shared" si="1"/>
        <v>0</v>
      </c>
    </row>
    <row r="19" spans="1:8" ht="19.95" customHeight="1" x14ac:dyDescent="0.35">
      <c r="A19" s="101" t="s">
        <v>12</v>
      </c>
      <c r="B19" s="102" t="s">
        <v>39</v>
      </c>
      <c r="C19" s="99">
        <f>'Додаток 1 (форма плану)'!C23+'Додаток 1 (форма плану)'!D23+'Додаток 1 (форма плану)'!E23+'Додаток 1 (форма плану)'!F23</f>
        <v>90.598541033434643</v>
      </c>
      <c r="D19" s="82">
        <f>D20+D21+D22+D23+D24+D25+D26</f>
        <v>8376408.1900000004</v>
      </c>
      <c r="E19" s="100">
        <f t="shared" si="0"/>
        <v>-8376317.591458967</v>
      </c>
      <c r="F19" s="100">
        <f t="shared" si="1"/>
        <v>92456.325393901832</v>
      </c>
    </row>
    <row r="20" spans="1:8" ht="31.2" x14ac:dyDescent="0.35">
      <c r="A20" s="103" t="s">
        <v>85</v>
      </c>
      <c r="B20" s="19">
        <v>1410</v>
      </c>
      <c r="C20" s="99" t="e">
        <f>'Додаток 1 (форма плану)'!C24+'Додаток 1 (форма плану)'!D24+'Додаток 1 (форма плану)'!E24+'Додаток 1 (форма плану)'!F24</f>
        <v>#DIV/0!</v>
      </c>
      <c r="D20" s="73"/>
      <c r="E20" s="100" t="e">
        <f t="shared" si="0"/>
        <v>#DIV/0!</v>
      </c>
      <c r="F20" s="100" t="e">
        <f t="shared" si="1"/>
        <v>#DIV/0!</v>
      </c>
    </row>
    <row r="21" spans="1:8" ht="31.8" x14ac:dyDescent="0.35">
      <c r="A21" s="104" t="s">
        <v>131</v>
      </c>
      <c r="B21" s="105">
        <v>1420</v>
      </c>
      <c r="C21" s="99">
        <f>'Додаток 1 (форма плану)'!C25+'Додаток 1 (форма плану)'!D25+'Додаток 1 (форма плану)'!E25+'Додаток 1 (форма плану)'!F25</f>
        <v>346.8</v>
      </c>
      <c r="D21" s="134">
        <v>213463.23</v>
      </c>
      <c r="E21" s="100">
        <f t="shared" si="0"/>
        <v>-213116.43000000002</v>
      </c>
      <c r="F21" s="100">
        <f t="shared" si="1"/>
        <v>615.52257785467134</v>
      </c>
    </row>
    <row r="22" spans="1:8" x14ac:dyDescent="0.35">
      <c r="A22" s="106" t="s">
        <v>21</v>
      </c>
      <c r="B22" s="107">
        <v>1430</v>
      </c>
      <c r="C22" s="99">
        <f>'Додаток 1 (форма плану)'!C26+'Додаток 1 (форма плану)'!D26+'Додаток 1 (форма плану)'!E26+'Додаток 1 (форма плану)'!F26</f>
        <v>1029.6349090909089</v>
      </c>
      <c r="D22" s="80">
        <v>94188.35</v>
      </c>
      <c r="E22" s="100">
        <f t="shared" si="0"/>
        <v>-93158.7150909091</v>
      </c>
      <c r="F22" s="100">
        <f t="shared" si="1"/>
        <v>91.477424831255306</v>
      </c>
    </row>
    <row r="23" spans="1:8" x14ac:dyDescent="0.35">
      <c r="A23" s="108" t="s">
        <v>22</v>
      </c>
      <c r="B23" s="19">
        <v>1440</v>
      </c>
      <c r="C23" s="99">
        <f>'Додаток 1 (форма плану)'!C27+'Додаток 1 (форма плану)'!D27+'Додаток 1 (форма плану)'!E27+'Додаток 1 (форма плану)'!F27</f>
        <v>622.3606666666667</v>
      </c>
      <c r="D23" s="73"/>
      <c r="E23" s="100">
        <f t="shared" si="0"/>
        <v>622.3606666666667</v>
      </c>
      <c r="F23" s="100">
        <f t="shared" si="1"/>
        <v>0</v>
      </c>
    </row>
    <row r="24" spans="1:8" x14ac:dyDescent="0.35">
      <c r="A24" s="108" t="s">
        <v>23</v>
      </c>
      <c r="B24" s="19">
        <v>1450</v>
      </c>
      <c r="C24" s="99">
        <f>'Додаток 1 (форма плану)'!C28+'Додаток 1 (форма плану)'!D28+'Додаток 1 (форма плану)'!E28+'Додаток 1 (форма плану)'!F28</f>
        <v>492.45600000000002</v>
      </c>
      <c r="D24" s="73">
        <v>244533.69</v>
      </c>
      <c r="E24" s="100">
        <f t="shared" si="0"/>
        <v>-244041.234</v>
      </c>
      <c r="F24" s="100">
        <f t="shared" si="1"/>
        <v>496.5594692723817</v>
      </c>
    </row>
    <row r="25" spans="1:8" ht="31.8" x14ac:dyDescent="0.35">
      <c r="A25" s="66" t="s">
        <v>84</v>
      </c>
      <c r="B25" s="19">
        <v>1470</v>
      </c>
      <c r="C25" s="99" t="e">
        <f>'Додаток 1 (форма плану)'!#REF!+'Додаток 1 (форма плану)'!#REF!+'Додаток 1 (форма плану)'!#REF!+'Додаток 1 (форма плану)'!#REF!</f>
        <v>#REF!</v>
      </c>
      <c r="D25" s="73">
        <f>34509.97+397226.14</f>
        <v>431736.11</v>
      </c>
      <c r="E25" s="100" t="e">
        <f>C25-D25</f>
        <v>#REF!</v>
      </c>
      <c r="F25" s="100" t="e">
        <f t="shared" si="1"/>
        <v>#REF!</v>
      </c>
    </row>
    <row r="26" spans="1:8" x14ac:dyDescent="0.35">
      <c r="A26" s="66" t="s">
        <v>157</v>
      </c>
      <c r="B26" s="19">
        <v>1480</v>
      </c>
      <c r="C26" s="99" t="e">
        <f>'Додаток 1 (форма плану)'!#REF!+'Додаток 1 (форма плану)'!#REF!+'Додаток 1 (форма плану)'!#REF!+'Додаток 1 (форма плану)'!#REF!</f>
        <v>#REF!</v>
      </c>
      <c r="D26" s="73">
        <f>1797578.27+4933861.4+7874.31+470032+1913.07-2358216.76-27600.6-1797578.27+252941.88+1572236.99+2062811.46-27600.6+504233.66</f>
        <v>7392486.8100000005</v>
      </c>
      <c r="E26" s="100" t="e">
        <f>C26-D26</f>
        <v>#REF!</v>
      </c>
      <c r="F26" s="100" t="e">
        <f t="shared" si="1"/>
        <v>#REF!</v>
      </c>
      <c r="G26" s="84"/>
    </row>
    <row r="27" spans="1:8" ht="18.600000000000001" customHeight="1" x14ac:dyDescent="0.35">
      <c r="A27" s="109" t="s">
        <v>61</v>
      </c>
      <c r="B27" s="110">
        <v>1500</v>
      </c>
      <c r="C27" s="99">
        <f>'Додаток 1 (форма плану)'!C29+'Додаток 1 (форма плану)'!D29+'Додаток 1 (форма плану)'!E29+'Додаток 1 (форма плану)'!F29</f>
        <v>21784.207300755686</v>
      </c>
      <c r="D27" s="86">
        <f>D12+D13+D16+D19</f>
        <v>53240940.439999998</v>
      </c>
      <c r="E27" s="100">
        <f t="shared" si="0"/>
        <v>-53219156.232699245</v>
      </c>
      <c r="F27" s="100">
        <f t="shared" si="1"/>
        <v>2444.0155065065455</v>
      </c>
      <c r="H27" s="68"/>
    </row>
    <row r="28" spans="1:8" x14ac:dyDescent="0.35">
      <c r="A28" s="290" t="s">
        <v>13</v>
      </c>
      <c r="B28" s="291"/>
      <c r="C28" s="291"/>
      <c r="D28" s="291"/>
      <c r="E28" s="291"/>
      <c r="F28" s="292"/>
      <c r="H28" s="68"/>
    </row>
    <row r="29" spans="1:8" ht="46.95" customHeight="1" x14ac:dyDescent="0.35">
      <c r="A29" s="69" t="s">
        <v>14</v>
      </c>
      <c r="B29" s="70">
        <v>2100</v>
      </c>
      <c r="C29" s="71">
        <f>'Додаток 1 (форма плану)'!C31+'Додаток 1 (форма плану)'!D31+'Додаток 1 (форма плану)'!E31+'Додаток 1 (форма плану)'!F31</f>
        <v>7610.2867784877899</v>
      </c>
      <c r="D29" s="71">
        <f>D30+D43</f>
        <v>34818240.089999996</v>
      </c>
      <c r="E29" s="100">
        <f t="shared" si="0"/>
        <v>-34810629.803221509</v>
      </c>
      <c r="F29" s="100">
        <f t="shared" si="1"/>
        <v>4575.1548007916981</v>
      </c>
      <c r="H29" s="68"/>
    </row>
    <row r="30" spans="1:8" ht="18" customHeight="1" x14ac:dyDescent="0.35">
      <c r="A30" s="69" t="s">
        <v>15</v>
      </c>
      <c r="B30" s="70">
        <v>2110</v>
      </c>
      <c r="C30" s="71">
        <f>'Додаток 1 (форма плану)'!C32+'Додаток 1 (форма плану)'!D32+'Додаток 1 (форма плану)'!E32+'Додаток 1 (форма плану)'!F32</f>
        <v>5293.8221834102696</v>
      </c>
      <c r="D30" s="71">
        <f t="shared" ref="D30" si="3">D31+D32+D33+D34+D35+D36+D37+D38+D39+D40+D41+D42</f>
        <v>34307038.909999996</v>
      </c>
      <c r="E30" s="100">
        <f t="shared" si="0"/>
        <v>-34301745.087816589</v>
      </c>
      <c r="F30" s="100">
        <f t="shared" si="1"/>
        <v>6480.5801406611417</v>
      </c>
    </row>
    <row r="31" spans="1:8" ht="18" customHeight="1" x14ac:dyDescent="0.35">
      <c r="A31" s="67" t="s">
        <v>44</v>
      </c>
      <c r="B31" s="72">
        <v>2111</v>
      </c>
      <c r="C31" s="71">
        <f>'Додаток 1 (форма плану)'!C33+'Додаток 1 (форма плану)'!D33+'Додаток 1 (форма плану)'!E33+'Додаток 1 (форма плану)'!F33</f>
        <v>1229.349435431538</v>
      </c>
      <c r="D31" s="73">
        <v>25651731.59</v>
      </c>
      <c r="E31" s="100">
        <f t="shared" si="0"/>
        <v>-25650502.24056457</v>
      </c>
      <c r="F31" s="100">
        <f t="shared" si="1"/>
        <v>20866.102713095144</v>
      </c>
    </row>
    <row r="32" spans="1:8" ht="19.95" customHeight="1" x14ac:dyDescent="0.35">
      <c r="A32" s="67" t="s">
        <v>45</v>
      </c>
      <c r="B32" s="74">
        <v>2112</v>
      </c>
      <c r="C32" s="71">
        <f>'Додаток 1 (форма плану)'!C36+'Додаток 1 (форма плану)'!D36+'Додаток 1 (форма плану)'!E36+'Додаток 1 (форма плану)'!F36</f>
        <v>192.24615384615382</v>
      </c>
      <c r="D32" s="73">
        <v>5645224.0800000001</v>
      </c>
      <c r="E32" s="100">
        <f t="shared" si="0"/>
        <v>-5645031.8338461537</v>
      </c>
      <c r="F32" s="100">
        <f t="shared" si="1"/>
        <v>29364.56187580026</v>
      </c>
    </row>
    <row r="33" spans="1:6" ht="18" customHeight="1" x14ac:dyDescent="0.35">
      <c r="A33" s="67" t="s">
        <v>46</v>
      </c>
      <c r="B33" s="74">
        <v>2113</v>
      </c>
      <c r="C33" s="71">
        <f>'Додаток 1 (форма плану)'!C38+'Додаток 1 (форма плану)'!D38+'Додаток 1 (форма плану)'!E38+'Додаток 1 (форма плану)'!F38</f>
        <v>202.536</v>
      </c>
      <c r="D33" s="73">
        <v>175180.96</v>
      </c>
      <c r="E33" s="100">
        <f t="shared" si="0"/>
        <v>-174978.424</v>
      </c>
      <c r="F33" s="100">
        <f t="shared" si="1"/>
        <v>864.93739384603225</v>
      </c>
    </row>
    <row r="34" spans="1:6" ht="18" customHeight="1" x14ac:dyDescent="0.35">
      <c r="A34" s="67" t="s">
        <v>47</v>
      </c>
      <c r="B34" s="74">
        <v>2114</v>
      </c>
      <c r="C34" s="71" t="e">
        <f>'Додаток 1 (форма плану)'!C39+'Додаток 1 (форма плану)'!D39+'Додаток 1 (форма плану)'!E39+'Додаток 1 (форма плану)'!F39</f>
        <v>#VALUE!</v>
      </c>
      <c r="D34" s="73">
        <f>900631.55+160923.78</f>
        <v>1061555.33</v>
      </c>
      <c r="E34" s="100" t="e">
        <f t="shared" si="0"/>
        <v>#VALUE!</v>
      </c>
      <c r="F34" s="100" t="e">
        <f t="shared" si="1"/>
        <v>#VALUE!</v>
      </c>
    </row>
    <row r="35" spans="1:6" ht="18" customHeight="1" x14ac:dyDescent="0.35">
      <c r="A35" s="67" t="s">
        <v>48</v>
      </c>
      <c r="B35" s="74">
        <v>2114</v>
      </c>
      <c r="C35" s="71" t="e">
        <f>'Додаток 1 (форма плану)'!C40+'Додаток 1 (форма плану)'!D40+'Додаток 1 (форма плану)'!E40+'Додаток 1 (форма плану)'!F40</f>
        <v>#VALUE!</v>
      </c>
      <c r="D35" s="73">
        <v>0</v>
      </c>
      <c r="E35" s="100" t="e">
        <f t="shared" si="0"/>
        <v>#VALUE!</v>
      </c>
      <c r="F35" s="100" t="e">
        <f t="shared" si="1"/>
        <v>#VALUE!</v>
      </c>
    </row>
    <row r="36" spans="1:6" ht="18" customHeight="1" x14ac:dyDescent="0.35">
      <c r="A36" s="67" t="s">
        <v>49</v>
      </c>
      <c r="B36" s="74">
        <v>2115</v>
      </c>
      <c r="C36" s="71" t="e">
        <f>'Додаток 1 (форма плану)'!C41+'Додаток 1 (форма плану)'!D41+'Додаток 1 (форма плану)'!E41+'Додаток 1 (форма плану)'!F41</f>
        <v>#VALUE!</v>
      </c>
      <c r="D36" s="73">
        <f>2282526.48-511201.18</f>
        <v>1771325.3</v>
      </c>
      <c r="E36" s="100" t="e">
        <f t="shared" si="0"/>
        <v>#VALUE!</v>
      </c>
      <c r="F36" s="100" t="e">
        <f t="shared" si="1"/>
        <v>#VALUE!</v>
      </c>
    </row>
    <row r="37" spans="1:6" ht="18" customHeight="1" x14ac:dyDescent="0.35">
      <c r="A37" s="67" t="s">
        <v>51</v>
      </c>
      <c r="B37" s="74">
        <v>2116</v>
      </c>
      <c r="C37" s="71" t="e">
        <f>'Додаток 1 (форма плану)'!C42+'Додаток 1 (форма плану)'!D42+'Додаток 1 (форма плану)'!E42+'Додаток 1 (форма плану)'!F42</f>
        <v>#VALUE!</v>
      </c>
      <c r="D37" s="73">
        <v>2021.65</v>
      </c>
      <c r="E37" s="100" t="e">
        <f t="shared" si="0"/>
        <v>#VALUE!</v>
      </c>
      <c r="F37" s="100" t="e">
        <f t="shared" si="1"/>
        <v>#VALUE!</v>
      </c>
    </row>
    <row r="38" spans="1:6" ht="18" customHeight="1" x14ac:dyDescent="0.35">
      <c r="A38" s="67" t="s">
        <v>50</v>
      </c>
      <c r="B38" s="74">
        <v>2117</v>
      </c>
      <c r="C38" s="71" t="e">
        <f>'Додаток 1 (форма плану)'!C43+'Додаток 1 (форма плану)'!D43+'Додаток 1 (форма плану)'!E43+'Додаток 1 (форма плану)'!F43</f>
        <v>#VALUE!</v>
      </c>
      <c r="D38" s="73"/>
      <c r="E38" s="100" t="e">
        <f t="shared" si="0"/>
        <v>#VALUE!</v>
      </c>
      <c r="F38" s="100" t="e">
        <f t="shared" si="1"/>
        <v>#VALUE!</v>
      </c>
    </row>
    <row r="39" spans="1:6" ht="31.2" x14ac:dyDescent="0.35">
      <c r="A39" s="75" t="s">
        <v>52</v>
      </c>
      <c r="B39" s="74">
        <v>2118</v>
      </c>
      <c r="C39" s="71" t="e">
        <f>'Додаток 1 (форма плану)'!C44+'Додаток 1 (форма плану)'!D44+'Додаток 1 (форма плану)'!E44+'Додаток 1 (форма плану)'!F44</f>
        <v>#VALUE!</v>
      </c>
      <c r="D39" s="73"/>
      <c r="E39" s="100" t="e">
        <f t="shared" si="0"/>
        <v>#VALUE!</v>
      </c>
      <c r="F39" s="100" t="e">
        <f t="shared" si="1"/>
        <v>#VALUE!</v>
      </c>
    </row>
    <row r="40" spans="1:6" x14ac:dyDescent="0.35">
      <c r="A40" s="67" t="s">
        <v>53</v>
      </c>
      <c r="B40" s="74">
        <f>B39+1</f>
        <v>2119</v>
      </c>
      <c r="C40" s="71" t="e">
        <f>'Додаток 1 (форма плану)'!#REF!+'Додаток 1 (форма плану)'!#REF!+'Додаток 1 (форма плану)'!#REF!+'Додаток 1 (форма плану)'!#REF!</f>
        <v>#REF!</v>
      </c>
      <c r="D40" s="73"/>
      <c r="E40" s="100" t="e">
        <f t="shared" si="0"/>
        <v>#REF!</v>
      </c>
      <c r="F40" s="100" t="e">
        <f t="shared" si="1"/>
        <v>#REF!</v>
      </c>
    </row>
    <row r="41" spans="1:6" x14ac:dyDescent="0.35">
      <c r="A41" s="67" t="s">
        <v>54</v>
      </c>
      <c r="B41" s="74">
        <f t="shared" ref="B41:B42" si="4">B40+1</f>
        <v>2120</v>
      </c>
      <c r="C41" s="71">
        <f>'Додаток 1 (форма плану)'!C45+'Додаток 1 (форма плану)'!D45+'Додаток 1 (форма плану)'!E45+'Додаток 1 (форма плану)'!F45</f>
        <v>232.76796116504852</v>
      </c>
      <c r="D41" s="73"/>
      <c r="E41" s="100">
        <f t="shared" si="0"/>
        <v>232.76796116504852</v>
      </c>
      <c r="F41" s="100">
        <f t="shared" si="1"/>
        <v>0</v>
      </c>
    </row>
    <row r="42" spans="1:6" x14ac:dyDescent="0.35">
      <c r="A42" s="67" t="s">
        <v>55</v>
      </c>
      <c r="B42" s="74">
        <f t="shared" si="4"/>
        <v>2121</v>
      </c>
      <c r="C42" s="71" t="e">
        <f>'Додаток 1 (форма плану)'!#REF!+'Додаток 1 (форма плану)'!#REF!+'Додаток 1 (форма плану)'!#REF!+'Додаток 1 (форма плану)'!#REF!</f>
        <v>#REF!</v>
      </c>
      <c r="D42" s="73"/>
      <c r="E42" s="100" t="e">
        <f t="shared" si="0"/>
        <v>#REF!</v>
      </c>
      <c r="F42" s="100" t="e">
        <f t="shared" si="1"/>
        <v>#REF!</v>
      </c>
    </row>
    <row r="43" spans="1:6" x14ac:dyDescent="0.35">
      <c r="A43" s="76" t="s">
        <v>43</v>
      </c>
      <c r="B43" s="77">
        <v>2130</v>
      </c>
      <c r="C43" s="71" t="e">
        <f>'Додаток 1 (форма плану)'!C46+'Додаток 1 (форма плану)'!D46+'Додаток 1 (форма плану)'!E46+'Додаток 1 (форма плану)'!F46</f>
        <v>#VALUE!</v>
      </c>
      <c r="D43" s="78">
        <f t="shared" ref="D43" si="5">D44+D45+D46+D47</f>
        <v>511201.18</v>
      </c>
      <c r="E43" s="100" t="e">
        <f t="shared" si="0"/>
        <v>#VALUE!</v>
      </c>
      <c r="F43" s="100" t="e">
        <f t="shared" si="1"/>
        <v>#VALUE!</v>
      </c>
    </row>
    <row r="44" spans="1:6" ht="31.2" x14ac:dyDescent="0.35">
      <c r="A44" s="75" t="s">
        <v>56</v>
      </c>
      <c r="B44" s="74">
        <v>2131</v>
      </c>
      <c r="C44" s="71" t="e">
        <f>'Додаток 1 (форма плану)'!#REF!+'Додаток 1 (форма плану)'!#REF!+'Додаток 1 (форма плану)'!#REF!+'Додаток 1 (форма плану)'!#REF!</f>
        <v>#REF!</v>
      </c>
      <c r="D44" s="73"/>
      <c r="E44" s="100" t="e">
        <f t="shared" si="0"/>
        <v>#REF!</v>
      </c>
      <c r="F44" s="100" t="e">
        <f t="shared" si="1"/>
        <v>#REF!</v>
      </c>
    </row>
    <row r="45" spans="1:6" x14ac:dyDescent="0.35">
      <c r="A45" s="67" t="s">
        <v>57</v>
      </c>
      <c r="B45" s="74">
        <v>2132</v>
      </c>
      <c r="C45" s="71" t="e">
        <f>'Додаток 1 (форма плану)'!#REF!+'Додаток 1 (форма плану)'!#REF!+'Додаток 1 (форма плану)'!#REF!+'Додаток 1 (форма плану)'!#REF!</f>
        <v>#REF!</v>
      </c>
      <c r="D45" s="73">
        <v>511201.18</v>
      </c>
      <c r="E45" s="100" t="e">
        <f t="shared" si="0"/>
        <v>#REF!</v>
      </c>
      <c r="F45" s="100" t="e">
        <f t="shared" si="1"/>
        <v>#REF!</v>
      </c>
    </row>
    <row r="46" spans="1:6" x14ac:dyDescent="0.35">
      <c r="A46" s="67" t="s">
        <v>58</v>
      </c>
      <c r="B46" s="74">
        <v>2133</v>
      </c>
      <c r="C46" s="71" t="e">
        <f>'Додаток 1 (форма плану)'!#REF!+'Додаток 1 (форма плану)'!#REF!+'Додаток 1 (форма плану)'!#REF!+'Додаток 1 (форма плану)'!#REF!</f>
        <v>#REF!</v>
      </c>
      <c r="D46" s="73"/>
      <c r="E46" s="100" t="e">
        <f t="shared" si="0"/>
        <v>#REF!</v>
      </c>
      <c r="F46" s="100" t="e">
        <f t="shared" si="1"/>
        <v>#REF!</v>
      </c>
    </row>
    <row r="47" spans="1:6" x14ac:dyDescent="0.35">
      <c r="A47" s="67" t="s">
        <v>59</v>
      </c>
      <c r="B47" s="74">
        <v>2134</v>
      </c>
      <c r="C47" s="71" t="e">
        <f>'Додаток 1 (форма плану)'!#REF!+'Додаток 1 (форма плану)'!#REF!+'Додаток 1 (форма плану)'!#REF!+'Додаток 1 (форма плану)'!#REF!</f>
        <v>#REF!</v>
      </c>
      <c r="D47" s="73"/>
      <c r="E47" s="100" t="e">
        <f t="shared" si="0"/>
        <v>#REF!</v>
      </c>
      <c r="F47" s="100" t="e">
        <f t="shared" si="1"/>
        <v>#REF!</v>
      </c>
    </row>
    <row r="48" spans="1:6" ht="30.6" customHeight="1" x14ac:dyDescent="0.35">
      <c r="A48" s="76" t="s">
        <v>80</v>
      </c>
      <c r="B48" s="77">
        <v>2200</v>
      </c>
      <c r="C48" s="71">
        <f>'Додаток 1 (форма плану)'!C47+'Додаток 1 (форма плану)'!D47+'Додаток 1 (форма плану)'!E47+'Додаток 1 (форма плану)'!F47</f>
        <v>12045.743590122182</v>
      </c>
      <c r="D48" s="78">
        <f>D49+D62</f>
        <v>9793125.9000000004</v>
      </c>
      <c r="E48" s="100">
        <f t="shared" si="0"/>
        <v>-9781080.1564098783</v>
      </c>
      <c r="F48" s="100">
        <f t="shared" si="1"/>
        <v>812.9947169081878</v>
      </c>
    </row>
    <row r="49" spans="1:7" x14ac:dyDescent="0.35">
      <c r="A49" s="69" t="s">
        <v>15</v>
      </c>
      <c r="B49" s="77">
        <v>2210</v>
      </c>
      <c r="C49" s="71">
        <f>'Додаток 1 (форма плану)'!C48+'Додаток 1 (форма плану)'!D48+'Додаток 1 (форма плану)'!E48+'Додаток 1 (форма плану)'!F48</f>
        <v>5606.9946445476262</v>
      </c>
      <c r="D49" s="78">
        <f>D50+D51+D52+D53+D54+D55+D56+D57+D58+D59+D60+D61</f>
        <v>9793125.9000000004</v>
      </c>
      <c r="E49" s="100">
        <f t="shared" si="0"/>
        <v>-9787518.9053554535</v>
      </c>
      <c r="F49" s="100">
        <f t="shared" si="1"/>
        <v>1746.590913819236</v>
      </c>
      <c r="G49" s="84"/>
    </row>
    <row r="50" spans="1:7" x14ac:dyDescent="0.35">
      <c r="A50" s="67" t="s">
        <v>44</v>
      </c>
      <c r="B50" s="72">
        <v>2211</v>
      </c>
      <c r="C50" s="71">
        <f>'Додаток 1 (форма плану)'!C49+'Додаток 1 (форма плану)'!D49+'Додаток 1 (форма плану)'!E49+'Додаток 1 (форма плану)'!F49</f>
        <v>1317.6590163934425</v>
      </c>
      <c r="D50" s="73">
        <v>299165.34000000003</v>
      </c>
      <c r="E50" s="100">
        <f t="shared" si="0"/>
        <v>-297847.68098360661</v>
      </c>
      <c r="F50" s="100">
        <f t="shared" si="1"/>
        <v>227.04306370463271</v>
      </c>
      <c r="G50" s="84"/>
    </row>
    <row r="51" spans="1:7" x14ac:dyDescent="0.35">
      <c r="A51" s="67" t="s">
        <v>45</v>
      </c>
      <c r="B51" s="74">
        <f>B50+1</f>
        <v>2212</v>
      </c>
      <c r="C51" s="71">
        <f>'Додаток 1 (форма плану)'!C50+'Додаток 1 (форма плану)'!D50+'Додаток 1 (форма плану)'!E50+'Додаток 1 (форма плану)'!F50</f>
        <v>404.67950963222415</v>
      </c>
      <c r="D51" s="73">
        <v>65816.38</v>
      </c>
      <c r="E51" s="100">
        <f t="shared" si="0"/>
        <v>-65411.700490367781</v>
      </c>
      <c r="F51" s="100">
        <f t="shared" si="1"/>
        <v>162.63828148802108</v>
      </c>
      <c r="G51" s="84"/>
    </row>
    <row r="52" spans="1:7" x14ac:dyDescent="0.35">
      <c r="A52" s="67" t="s">
        <v>46</v>
      </c>
      <c r="B52" s="74">
        <f t="shared" ref="B52:B61" si="6">B51+1</f>
        <v>2213</v>
      </c>
      <c r="C52" s="71">
        <f>'Додаток 1 (форма плану)'!C52+'Додаток 1 (форма плану)'!D52+'Додаток 1 (форма плану)'!E52+'Додаток 1 (форма плану)'!F52</f>
        <v>1097.9921433494142</v>
      </c>
      <c r="D52" s="73">
        <f>131301.21+0.1</f>
        <v>131301.31</v>
      </c>
      <c r="E52" s="100">
        <f t="shared" si="0"/>
        <v>-130203.31785665058</v>
      </c>
      <c r="F52" s="100">
        <f t="shared" si="1"/>
        <v>119.58310521190676</v>
      </c>
    </row>
    <row r="53" spans="1:7" x14ac:dyDescent="0.35">
      <c r="A53" s="67" t="s">
        <v>47</v>
      </c>
      <c r="B53" s="74">
        <f t="shared" si="6"/>
        <v>2214</v>
      </c>
      <c r="C53" s="71" t="e">
        <f>'Додаток 1 (форма плану)'!C53+'Додаток 1 (форма плану)'!D53+'Додаток 1 (форма плану)'!E53+'Додаток 1 (форма плану)'!F53</f>
        <v>#DIV/0!</v>
      </c>
      <c r="D53" s="73">
        <f>1353969.98</f>
        <v>1353969.98</v>
      </c>
      <c r="E53" s="100" t="e">
        <f t="shared" si="0"/>
        <v>#DIV/0!</v>
      </c>
      <c r="F53" s="100" t="e">
        <f t="shared" si="1"/>
        <v>#DIV/0!</v>
      </c>
      <c r="G53" s="84"/>
    </row>
    <row r="54" spans="1:7" x14ac:dyDescent="0.35">
      <c r="A54" s="67" t="s">
        <v>48</v>
      </c>
      <c r="B54" s="74">
        <f t="shared" si="6"/>
        <v>2215</v>
      </c>
      <c r="C54" s="71">
        <f>'Додаток 1 (форма плану)'!C54+'Додаток 1 (форма плану)'!D54+'Додаток 1 (форма плану)'!E54+'Додаток 1 (форма плану)'!F54</f>
        <v>1907.7036325427798</v>
      </c>
      <c r="D54" s="73">
        <v>181944.98</v>
      </c>
      <c r="E54" s="100">
        <f t="shared" si="0"/>
        <v>-180037.27636745723</v>
      </c>
      <c r="F54" s="100">
        <f t="shared" si="1"/>
        <v>95.373818498990531</v>
      </c>
    </row>
    <row r="55" spans="1:7" x14ac:dyDescent="0.35">
      <c r="A55" s="67" t="s">
        <v>49</v>
      </c>
      <c r="B55" s="74">
        <f t="shared" si="6"/>
        <v>2216</v>
      </c>
      <c r="C55" s="71">
        <f>'Додаток 1 (форма плану)'!C55+'Додаток 1 (форма плану)'!D55+'Додаток 1 (форма плану)'!E55+'Додаток 1 (форма плану)'!F55</f>
        <v>629.57223308564721</v>
      </c>
      <c r="D55" s="73">
        <f>3803049.92</f>
        <v>3803049.92</v>
      </c>
      <c r="E55" s="100">
        <f t="shared" si="0"/>
        <v>-3802420.3477669144</v>
      </c>
      <c r="F55" s="100">
        <f t="shared" si="1"/>
        <v>6040.6887726934292</v>
      </c>
    </row>
    <row r="56" spans="1:7" x14ac:dyDescent="0.35">
      <c r="A56" s="67" t="s">
        <v>51</v>
      </c>
      <c r="B56" s="74">
        <f t="shared" si="6"/>
        <v>2217</v>
      </c>
      <c r="C56" s="71">
        <f>'Додаток 1 (форма плану)'!C56+'Додаток 1 (форма плану)'!D56+'Додаток 1 (форма плану)'!E56+'Додаток 1 (форма плану)'!F56</f>
        <v>211.2</v>
      </c>
      <c r="D56" s="73">
        <v>0</v>
      </c>
      <c r="E56" s="100">
        <f t="shared" si="0"/>
        <v>211.2</v>
      </c>
      <c r="F56" s="100">
        <f t="shared" si="1"/>
        <v>0</v>
      </c>
    </row>
    <row r="57" spans="1:7" x14ac:dyDescent="0.35">
      <c r="A57" s="67" t="s">
        <v>50</v>
      </c>
      <c r="B57" s="74">
        <f t="shared" si="6"/>
        <v>2218</v>
      </c>
      <c r="C57" s="71">
        <f>'Додаток 1 (форма плану)'!C57+'Додаток 1 (форма плану)'!D57+'Додаток 1 (форма плану)'!E57+'Додаток 1 (форма плану)'!F57</f>
        <v>700.55609284332684</v>
      </c>
      <c r="D57" s="73">
        <f>421991.33+39021.33+318825.24+23344.97</f>
        <v>803182.87</v>
      </c>
      <c r="E57" s="100">
        <f t="shared" si="0"/>
        <v>-802482.3139071567</v>
      </c>
      <c r="F57" s="100">
        <f t="shared" si="1"/>
        <v>1146.4933046833478</v>
      </c>
    </row>
    <row r="58" spans="1:7" ht="31.2" x14ac:dyDescent="0.35">
      <c r="A58" s="75" t="s">
        <v>52</v>
      </c>
      <c r="B58" s="74">
        <f t="shared" si="6"/>
        <v>2219</v>
      </c>
      <c r="C58" s="71">
        <f>'Додаток 1 (форма плану)'!C58+'Додаток 1 (форма плану)'!D58+'Додаток 1 (форма плану)'!E58+'Додаток 1 (форма плану)'!F58</f>
        <v>599.52136752136755</v>
      </c>
      <c r="D58" s="73">
        <v>7040</v>
      </c>
      <c r="E58" s="100">
        <f t="shared" si="0"/>
        <v>-6440.4786324786328</v>
      </c>
      <c r="F58" s="100">
        <f t="shared" si="1"/>
        <v>11.742700729927007</v>
      </c>
    </row>
    <row r="59" spans="1:7" x14ac:dyDescent="0.35">
      <c r="A59" s="67" t="s">
        <v>53</v>
      </c>
      <c r="B59" s="74">
        <f>B58+1</f>
        <v>2220</v>
      </c>
      <c r="C59" s="71">
        <f>'Додаток 1 (форма плану)'!C59+'Додаток 1 (форма плану)'!D59+'Додаток 1 (форма плану)'!E59+'Додаток 1 (форма плану)'!F59</f>
        <v>340.15384615384613</v>
      </c>
      <c r="D59" s="73"/>
      <c r="E59" s="100">
        <f t="shared" si="0"/>
        <v>340.15384615384613</v>
      </c>
      <c r="F59" s="100">
        <f t="shared" si="1"/>
        <v>0</v>
      </c>
    </row>
    <row r="60" spans="1:7" x14ac:dyDescent="0.35">
      <c r="A60" s="67" t="s">
        <v>54</v>
      </c>
      <c r="B60" s="74">
        <f t="shared" si="6"/>
        <v>2221</v>
      </c>
      <c r="C60" s="71">
        <f>'Додаток 1 (форма плану)'!C60+'Додаток 1 (форма плану)'!D60+'Додаток 1 (форма плану)'!E60+'Додаток 1 (форма плану)'!F60</f>
        <v>247.14610778443114</v>
      </c>
      <c r="D60" s="73">
        <v>3147655.12</v>
      </c>
      <c r="E60" s="100">
        <f t="shared" si="0"/>
        <v>-3147407.9738922156</v>
      </c>
      <c r="F60" s="100">
        <f t="shared" si="1"/>
        <v>12736.009270862105</v>
      </c>
    </row>
    <row r="61" spans="1:7" x14ac:dyDescent="0.35">
      <c r="A61" s="67" t="s">
        <v>55</v>
      </c>
      <c r="B61" s="74">
        <f t="shared" si="6"/>
        <v>2222</v>
      </c>
      <c r="C61" s="71">
        <f>'Додаток 1 (форма плану)'!C61+'Додаток 1 (форма плану)'!D61+'Додаток 1 (форма плану)'!E61+'Додаток 1 (форма плану)'!F61</f>
        <v>1029.5999999999999</v>
      </c>
      <c r="D61" s="73"/>
      <c r="E61" s="100">
        <f t="shared" si="0"/>
        <v>1029.5999999999999</v>
      </c>
      <c r="F61" s="100">
        <f t="shared" si="1"/>
        <v>0</v>
      </c>
    </row>
    <row r="62" spans="1:7" ht="24.6" customHeight="1" x14ac:dyDescent="0.35">
      <c r="A62" s="76" t="s">
        <v>43</v>
      </c>
      <c r="B62" s="77">
        <v>2230</v>
      </c>
      <c r="C62" s="71" t="e">
        <f>'Додаток 1 (форма плану)'!#REF!+'Додаток 1 (форма плану)'!#REF!+'Додаток 1 (форма плану)'!#REF!+'Додаток 1 (форма плану)'!#REF!</f>
        <v>#REF!</v>
      </c>
      <c r="D62" s="78">
        <f t="shared" ref="D62" si="7">D63+D64+D65+D66</f>
        <v>0</v>
      </c>
      <c r="E62" s="100" t="e">
        <f t="shared" si="0"/>
        <v>#REF!</v>
      </c>
      <c r="F62" s="100" t="e">
        <f t="shared" si="1"/>
        <v>#REF!</v>
      </c>
    </row>
    <row r="63" spans="1:7" ht="31.2" x14ac:dyDescent="0.35">
      <c r="A63" s="75" t="s">
        <v>56</v>
      </c>
      <c r="B63" s="74">
        <v>2231</v>
      </c>
      <c r="C63" s="71" t="e">
        <f>'Додаток 1 (форма плану)'!C62+'Додаток 1 (форма плану)'!D62+'Додаток 1 (форма плану)'!E62+'Додаток 1 (форма плану)'!F62</f>
        <v>#DIV/0!</v>
      </c>
      <c r="D63" s="73">
        <v>0</v>
      </c>
      <c r="E63" s="100" t="e">
        <f t="shared" si="0"/>
        <v>#DIV/0!</v>
      </c>
      <c r="F63" s="100" t="e">
        <f t="shared" si="1"/>
        <v>#DIV/0!</v>
      </c>
    </row>
    <row r="64" spans="1:7" x14ac:dyDescent="0.35">
      <c r="A64" s="67" t="s">
        <v>57</v>
      </c>
      <c r="B64" s="74">
        <f t="shared" ref="B64:B66" si="8">B63+1</f>
        <v>2232</v>
      </c>
      <c r="C64" s="71" t="e">
        <f>'Додаток 1 (форма плану)'!#REF!+'Додаток 1 (форма плану)'!#REF!+'Додаток 1 (форма плану)'!#REF!+'Додаток 1 (форма плану)'!#REF!</f>
        <v>#REF!</v>
      </c>
      <c r="D64" s="73"/>
      <c r="E64" s="100" t="e">
        <f t="shared" si="0"/>
        <v>#REF!</v>
      </c>
      <c r="F64" s="100" t="e">
        <f t="shared" si="1"/>
        <v>#REF!</v>
      </c>
    </row>
    <row r="65" spans="1:7" ht="17.399999999999999" customHeight="1" x14ac:dyDescent="0.35">
      <c r="A65" s="67" t="s">
        <v>58</v>
      </c>
      <c r="B65" s="74">
        <f t="shared" si="8"/>
        <v>2233</v>
      </c>
      <c r="C65" s="71" t="e">
        <f>'Додаток 1 (форма плану)'!#REF!+'Додаток 1 (форма плану)'!#REF!+'Додаток 1 (форма плану)'!#REF!+'Додаток 1 (форма плану)'!#REF!</f>
        <v>#REF!</v>
      </c>
      <c r="D65" s="73"/>
      <c r="E65" s="100" t="e">
        <f t="shared" si="0"/>
        <v>#REF!</v>
      </c>
      <c r="F65" s="100" t="e">
        <f t="shared" si="1"/>
        <v>#REF!</v>
      </c>
    </row>
    <row r="66" spans="1:7" ht="17.399999999999999" customHeight="1" x14ac:dyDescent="0.35">
      <c r="A66" s="67" t="s">
        <v>59</v>
      </c>
      <c r="B66" s="74">
        <f t="shared" si="8"/>
        <v>2234</v>
      </c>
      <c r="C66" s="71" t="e">
        <f>'Додаток 1 (форма плану)'!#REF!+'Додаток 1 (форма плану)'!#REF!+'Додаток 1 (форма плану)'!#REF!+'Додаток 1 (форма плану)'!#REF!</f>
        <v>#REF!</v>
      </c>
      <c r="D66" s="73"/>
      <c r="E66" s="100" t="e">
        <f t="shared" si="0"/>
        <v>#REF!</v>
      </c>
      <c r="F66" s="100" t="e">
        <f t="shared" si="1"/>
        <v>#REF!</v>
      </c>
    </row>
    <row r="67" spans="1:7" ht="31.2" x14ac:dyDescent="0.35">
      <c r="A67" s="76" t="s">
        <v>86</v>
      </c>
      <c r="B67" s="77">
        <v>2300</v>
      </c>
      <c r="C67" s="71">
        <f>'Додаток 1 (форма плану)'!C63+'Додаток 1 (форма плану)'!D63+'Додаток 1 (форма плану)'!E63+'Додаток 1 (форма плану)'!F63</f>
        <v>54.275979565772666</v>
      </c>
      <c r="D67" s="78">
        <f>D68+D72</f>
        <v>0</v>
      </c>
      <c r="E67" s="100">
        <f t="shared" si="0"/>
        <v>54.275979565772666</v>
      </c>
      <c r="F67" s="100">
        <f t="shared" si="1"/>
        <v>0</v>
      </c>
    </row>
    <row r="68" spans="1:7" ht="16.95" customHeight="1" x14ac:dyDescent="0.35">
      <c r="A68" s="69" t="s">
        <v>15</v>
      </c>
      <c r="B68" s="77">
        <f>B49+100</f>
        <v>2310</v>
      </c>
      <c r="C68" s="71">
        <f>'Додаток 1 (форма плану)'!C64+'Додаток 1 (форма плану)'!D64+'Додаток 1 (форма плану)'!E64+'Додаток 1 (форма плану)'!F64</f>
        <v>48.438893617021279</v>
      </c>
      <c r="D68" s="78">
        <f t="shared" ref="D68" si="9">D69+D70+D71</f>
        <v>0</v>
      </c>
      <c r="E68" s="100">
        <f t="shared" si="0"/>
        <v>48.438893617021279</v>
      </c>
      <c r="F68" s="100">
        <f t="shared" si="1"/>
        <v>0</v>
      </c>
    </row>
    <row r="69" spans="1:7" ht="16.95" customHeight="1" x14ac:dyDescent="0.35">
      <c r="A69" s="67" t="s">
        <v>46</v>
      </c>
      <c r="B69" s="74">
        <v>2311</v>
      </c>
      <c r="C69" s="71">
        <f>'Додаток 1 (форма плану)'!C65+'Додаток 1 (форма плану)'!D65+'Додаток 1 (форма плану)'!E65+'Додаток 1 (форма плану)'!F65</f>
        <v>48.438893617021279</v>
      </c>
      <c r="D69" s="73"/>
      <c r="E69" s="100">
        <f t="shared" si="0"/>
        <v>48.438893617021279</v>
      </c>
      <c r="F69" s="100">
        <f t="shared" si="1"/>
        <v>0</v>
      </c>
    </row>
    <row r="70" spans="1:7" ht="16.95" customHeight="1" x14ac:dyDescent="0.35">
      <c r="A70" s="67" t="s">
        <v>47</v>
      </c>
      <c r="B70" s="74">
        <f t="shared" ref="B70" si="10">B69+1</f>
        <v>2312</v>
      </c>
      <c r="C70" s="71">
        <f>'Додаток 1 (форма плану)'!C66+'Додаток 1 (форма плану)'!D66+'Додаток 1 (форма плану)'!E66+'Додаток 1 (форма плану)'!F66</f>
        <v>28</v>
      </c>
      <c r="D70" s="73">
        <v>0</v>
      </c>
      <c r="E70" s="100">
        <f t="shared" si="0"/>
        <v>28</v>
      </c>
      <c r="F70" s="100">
        <f t="shared" si="1"/>
        <v>0</v>
      </c>
    </row>
    <row r="71" spans="1:7" x14ac:dyDescent="0.35">
      <c r="A71" s="67" t="s">
        <v>49</v>
      </c>
      <c r="B71" s="74">
        <v>2313</v>
      </c>
      <c r="C71" s="71" t="e">
        <f>'Додаток 1 (форма плану)'!#REF!+'Додаток 1 (форма плану)'!#REF!+'Додаток 1 (форма плану)'!#REF!+'Додаток 1 (форма плану)'!#REF!</f>
        <v>#REF!</v>
      </c>
      <c r="D71" s="73"/>
      <c r="E71" s="100" t="e">
        <f t="shared" si="0"/>
        <v>#REF!</v>
      </c>
      <c r="F71" s="100" t="e">
        <f t="shared" si="1"/>
        <v>#REF!</v>
      </c>
    </row>
    <row r="72" spans="1:7" ht="16.5" customHeight="1" x14ac:dyDescent="0.35">
      <c r="A72" s="76" t="s">
        <v>43</v>
      </c>
      <c r="B72" s="77">
        <v>2330</v>
      </c>
      <c r="C72" s="71" t="e">
        <f>'Додаток 1 (форма плану)'!#REF!+'Додаток 1 (форма плану)'!#REF!+'Додаток 1 (форма плану)'!#REF!+'Додаток 1 (форма плану)'!#REF!</f>
        <v>#REF!</v>
      </c>
      <c r="D72" s="78">
        <f t="shared" ref="D72" si="11">D73+D74+D75+D76</f>
        <v>0</v>
      </c>
      <c r="E72" s="100" t="e">
        <f t="shared" si="0"/>
        <v>#REF!</v>
      </c>
      <c r="F72" s="100" t="e">
        <f t="shared" si="1"/>
        <v>#REF!</v>
      </c>
    </row>
    <row r="73" spans="1:7" ht="31.2" x14ac:dyDescent="0.35">
      <c r="A73" s="75" t="s">
        <v>56</v>
      </c>
      <c r="B73" s="74">
        <v>2331</v>
      </c>
      <c r="C73" s="71" t="e">
        <f>'Додаток 1 (форма плану)'!#REF!+'Додаток 1 (форма плану)'!#REF!+'Додаток 1 (форма плану)'!#REF!+'Додаток 1 (форма плану)'!#REF!</f>
        <v>#REF!</v>
      </c>
      <c r="D73" s="73"/>
      <c r="E73" s="100" t="e">
        <f t="shared" si="0"/>
        <v>#REF!</v>
      </c>
      <c r="F73" s="100" t="e">
        <f t="shared" si="1"/>
        <v>#REF!</v>
      </c>
    </row>
    <row r="74" spans="1:7" ht="19.2" customHeight="1" x14ac:dyDescent="0.35">
      <c r="A74" s="67" t="s">
        <v>57</v>
      </c>
      <c r="B74" s="74">
        <f t="shared" ref="B74:B76" si="12">B73+1</f>
        <v>2332</v>
      </c>
      <c r="C74" s="71" t="e">
        <f>'Додаток 1 (форма плану)'!#REF!+'Додаток 1 (форма плану)'!#REF!+'Додаток 1 (форма плану)'!#REF!+'Додаток 1 (форма плану)'!#REF!</f>
        <v>#REF!</v>
      </c>
      <c r="D74" s="73"/>
      <c r="E74" s="100" t="e">
        <f t="shared" si="0"/>
        <v>#REF!</v>
      </c>
      <c r="F74" s="100" t="e">
        <f t="shared" si="1"/>
        <v>#REF!</v>
      </c>
    </row>
    <row r="75" spans="1:7" ht="19.2" customHeight="1" x14ac:dyDescent="0.35">
      <c r="A75" s="67" t="s">
        <v>58</v>
      </c>
      <c r="B75" s="74">
        <f t="shared" si="12"/>
        <v>2333</v>
      </c>
      <c r="C75" s="71" t="e">
        <f>'Додаток 1 (форма плану)'!#REF!+'Додаток 1 (форма плану)'!#REF!+'Додаток 1 (форма плану)'!#REF!+'Додаток 1 (форма плану)'!#REF!</f>
        <v>#REF!</v>
      </c>
      <c r="D75" s="73"/>
      <c r="E75" s="100" t="e">
        <f t="shared" si="0"/>
        <v>#REF!</v>
      </c>
      <c r="F75" s="100" t="e">
        <f t="shared" si="1"/>
        <v>#REF!</v>
      </c>
    </row>
    <row r="76" spans="1:7" ht="16.95" customHeight="1" x14ac:dyDescent="0.35">
      <c r="A76" s="67" t="s">
        <v>59</v>
      </c>
      <c r="B76" s="74">
        <f t="shared" si="12"/>
        <v>2334</v>
      </c>
      <c r="C76" s="71" t="e">
        <f>'Додаток 1 (форма плану)'!#REF!+'Додаток 1 (форма плану)'!#REF!+'Додаток 1 (форма плану)'!#REF!+'Додаток 1 (форма плану)'!#REF!</f>
        <v>#REF!</v>
      </c>
      <c r="D76" s="73"/>
      <c r="E76" s="100" t="e">
        <f t="shared" si="0"/>
        <v>#REF!</v>
      </c>
      <c r="F76" s="100" t="e">
        <f t="shared" si="1"/>
        <v>#REF!</v>
      </c>
    </row>
    <row r="77" spans="1:7" x14ac:dyDescent="0.35">
      <c r="A77" s="76" t="s">
        <v>16</v>
      </c>
      <c r="B77" s="77">
        <v>2400</v>
      </c>
      <c r="C77" s="71" t="e">
        <f>'Додаток 1 (форма плану)'!#REF!+'Додаток 1 (форма плану)'!#REF!+'Додаток 1 (форма плану)'!#REF!+'Додаток 1 (форма плану)'!#REF!</f>
        <v>#REF!</v>
      </c>
      <c r="D77" s="78">
        <f>D78+D92</f>
        <v>2819987</v>
      </c>
      <c r="E77" s="100" t="e">
        <f t="shared" si="0"/>
        <v>#REF!</v>
      </c>
      <c r="F77" s="100" t="e">
        <f t="shared" si="1"/>
        <v>#REF!</v>
      </c>
    </row>
    <row r="78" spans="1:7" ht="16.95" customHeight="1" x14ac:dyDescent="0.35">
      <c r="A78" s="69" t="s">
        <v>15</v>
      </c>
      <c r="B78" s="77">
        <f>B68+100</f>
        <v>2410</v>
      </c>
      <c r="C78" s="71" t="e">
        <f>'Додаток 1 (форма плану)'!#REF!+'Додаток 1 (форма плану)'!#REF!+'Додаток 1 (форма плану)'!#REF!+'Додаток 1 (форма плану)'!#REF!</f>
        <v>#REF!</v>
      </c>
      <c r="D78" s="78">
        <f>D79+D80+D81+D82+D83+D84+D85+D86+D87+D88+D89+D91+D90</f>
        <v>2819987</v>
      </c>
      <c r="E78" s="100" t="e">
        <f t="shared" ref="E78:E98" si="13">C78-D78</f>
        <v>#REF!</v>
      </c>
      <c r="F78" s="100" t="e">
        <f t="shared" ref="F78:F98" si="14">(D78/C78)*100%</f>
        <v>#REF!</v>
      </c>
      <c r="G78" s="84"/>
    </row>
    <row r="79" spans="1:7" ht="16.95" customHeight="1" x14ac:dyDescent="0.35">
      <c r="A79" s="67" t="s">
        <v>44</v>
      </c>
      <c r="B79" s="72">
        <v>2411</v>
      </c>
      <c r="C79" s="71" t="e">
        <f>'Додаток 1 (форма плану)'!#REF!+'Додаток 1 (форма плану)'!#REF!+'Додаток 1 (форма плану)'!#REF!+'Додаток 1 (форма плану)'!#REF!</f>
        <v>#REF!</v>
      </c>
      <c r="D79" s="73">
        <v>22623.439999999999</v>
      </c>
      <c r="E79" s="100" t="e">
        <f t="shared" si="13"/>
        <v>#REF!</v>
      </c>
      <c r="F79" s="100" t="e">
        <f t="shared" si="14"/>
        <v>#REF!</v>
      </c>
    </row>
    <row r="80" spans="1:7" ht="16.95" customHeight="1" x14ac:dyDescent="0.35">
      <c r="A80" s="67" t="s">
        <v>45</v>
      </c>
      <c r="B80" s="74">
        <f t="shared" ref="B80:B89" si="15">B79+1</f>
        <v>2412</v>
      </c>
      <c r="C80" s="71" t="e">
        <f>'Додаток 1 (форма плану)'!#REF!+'Додаток 1 (форма плану)'!#REF!+'Додаток 1 (форма плану)'!#REF!+'Додаток 1 (форма плану)'!#REF!</f>
        <v>#REF!</v>
      </c>
      <c r="D80" s="73">
        <v>4977.16</v>
      </c>
      <c r="E80" s="100" t="e">
        <f t="shared" si="13"/>
        <v>#REF!</v>
      </c>
      <c r="F80" s="100" t="e">
        <f t="shared" si="14"/>
        <v>#REF!</v>
      </c>
      <c r="G80" s="84"/>
    </row>
    <row r="81" spans="1:7" ht="16.95" customHeight="1" x14ac:dyDescent="0.35">
      <c r="A81" s="67" t="s">
        <v>46</v>
      </c>
      <c r="B81" s="74">
        <f t="shared" si="15"/>
        <v>2413</v>
      </c>
      <c r="C81" s="71" t="e">
        <f>'Додаток 1 (форма плану)'!#REF!+'Додаток 1 (форма плану)'!#REF!+'Додаток 1 (форма плану)'!#REF!+'Додаток 1 (форма плану)'!#REF!</f>
        <v>#REF!</v>
      </c>
      <c r="D81" s="73">
        <f>37855</f>
        <v>37855</v>
      </c>
      <c r="E81" s="100" t="e">
        <f t="shared" si="13"/>
        <v>#REF!</v>
      </c>
      <c r="F81" s="100" t="e">
        <f t="shared" si="14"/>
        <v>#REF!</v>
      </c>
    </row>
    <row r="82" spans="1:7" ht="16.95" customHeight="1" x14ac:dyDescent="0.35">
      <c r="A82" s="67" t="s">
        <v>47</v>
      </c>
      <c r="B82" s="74">
        <f t="shared" si="15"/>
        <v>2414</v>
      </c>
      <c r="C82" s="71" t="e">
        <f>'Додаток 1 (форма плану)'!#REF!+'Додаток 1 (форма плану)'!#REF!+'Додаток 1 (форма плану)'!#REF!+'Додаток 1 (форма плану)'!#REF!</f>
        <v>#REF!</v>
      </c>
      <c r="D82" s="73">
        <v>244533.69</v>
      </c>
      <c r="E82" s="100" t="e">
        <f t="shared" si="13"/>
        <v>#REF!</v>
      </c>
      <c r="F82" s="100" t="e">
        <f t="shared" si="14"/>
        <v>#REF!</v>
      </c>
    </row>
    <row r="83" spans="1:7" ht="16.95" customHeight="1" x14ac:dyDescent="0.35">
      <c r="A83" s="67" t="s">
        <v>48</v>
      </c>
      <c r="B83" s="74">
        <f t="shared" si="15"/>
        <v>2415</v>
      </c>
      <c r="C83" s="71" t="e">
        <f>'Додаток 1 (форма плану)'!#REF!+'Додаток 1 (форма плану)'!#REF!+'Додаток 1 (форма плану)'!#REF!+'Додаток 1 (форма плану)'!#REF!</f>
        <v>#REF!</v>
      </c>
      <c r="D83" s="73"/>
      <c r="E83" s="100" t="e">
        <f t="shared" si="13"/>
        <v>#REF!</v>
      </c>
      <c r="F83" s="100" t="e">
        <f t="shared" si="14"/>
        <v>#REF!</v>
      </c>
    </row>
    <row r="84" spans="1:7" ht="16.95" customHeight="1" x14ac:dyDescent="0.35">
      <c r="A84" s="67" t="s">
        <v>49</v>
      </c>
      <c r="B84" s="74">
        <f t="shared" si="15"/>
        <v>2416</v>
      </c>
      <c r="C84" s="71" t="e">
        <f>'Додаток 1 (форма плану)'!#REF!+'Додаток 1 (форма плану)'!#REF!+'Додаток 1 (форма плану)'!#REF!+'Додаток 1 (форма плану)'!#REF!</f>
        <v>#REF!</v>
      </c>
      <c r="D84" s="73">
        <v>459477.56</v>
      </c>
      <c r="E84" s="100" t="e">
        <f t="shared" si="13"/>
        <v>#REF!</v>
      </c>
      <c r="F84" s="100" t="e">
        <f t="shared" si="14"/>
        <v>#REF!</v>
      </c>
    </row>
    <row r="85" spans="1:7" ht="16.95" customHeight="1" x14ac:dyDescent="0.35">
      <c r="A85" s="67" t="s">
        <v>51</v>
      </c>
      <c r="B85" s="74">
        <f t="shared" si="15"/>
        <v>2417</v>
      </c>
      <c r="C85" s="71" t="e">
        <f>'Додаток 1 (форма плану)'!#REF!+'Додаток 1 (форма плану)'!#REF!+'Додаток 1 (форма плану)'!#REF!+'Додаток 1 (форма плану)'!#REF!</f>
        <v>#REF!</v>
      </c>
      <c r="D85" s="73"/>
      <c r="E85" s="100" t="e">
        <f t="shared" si="13"/>
        <v>#REF!</v>
      </c>
      <c r="F85" s="100" t="e">
        <f t="shared" si="14"/>
        <v>#REF!</v>
      </c>
    </row>
    <row r="86" spans="1:7" ht="16.95" customHeight="1" x14ac:dyDescent="0.35">
      <c r="A86" s="67" t="s">
        <v>50</v>
      </c>
      <c r="B86" s="74">
        <f t="shared" si="15"/>
        <v>2418</v>
      </c>
      <c r="C86" s="71" t="e">
        <f>'Додаток 1 (форма плану)'!#REF!+'Додаток 1 (форма плану)'!#REF!+'Додаток 1 (форма плану)'!#REF!+'Додаток 1 (форма плану)'!#REF!</f>
        <v>#REF!</v>
      </c>
      <c r="D86" s="73">
        <f>69805.95+50966.46+114039.91+18129.56</f>
        <v>252941.88</v>
      </c>
      <c r="E86" s="100" t="e">
        <f t="shared" si="13"/>
        <v>#REF!</v>
      </c>
      <c r="F86" s="100" t="e">
        <f t="shared" si="14"/>
        <v>#REF!</v>
      </c>
    </row>
    <row r="87" spans="1:7" ht="31.2" x14ac:dyDescent="0.35">
      <c r="A87" s="75" t="s">
        <v>52</v>
      </c>
      <c r="B87" s="74">
        <f t="shared" si="15"/>
        <v>2419</v>
      </c>
      <c r="C87" s="71" t="e">
        <f>'Додаток 1 (форма плану)'!#REF!+'Додаток 1 (форма плану)'!#REF!+'Додаток 1 (форма плану)'!#REF!+'Додаток 1 (форма плану)'!#REF!</f>
        <v>#REF!</v>
      </c>
      <c r="D87" s="73"/>
      <c r="E87" s="100" t="e">
        <f t="shared" si="13"/>
        <v>#REF!</v>
      </c>
      <c r="F87" s="100" t="e">
        <f t="shared" si="14"/>
        <v>#REF!</v>
      </c>
    </row>
    <row r="88" spans="1:7" ht="16.95" customHeight="1" x14ac:dyDescent="0.35">
      <c r="A88" s="67" t="s">
        <v>53</v>
      </c>
      <c r="B88" s="74">
        <f>B87+1</f>
        <v>2420</v>
      </c>
      <c r="C88" s="71" t="e">
        <f>'Додаток 1 (форма плану)'!#REF!+'Додаток 1 (форма плану)'!#REF!+'Додаток 1 (форма плану)'!#REF!+'Додаток 1 (форма плану)'!#REF!</f>
        <v>#REF!</v>
      </c>
      <c r="D88" s="73"/>
      <c r="E88" s="100" t="e">
        <f t="shared" si="13"/>
        <v>#REF!</v>
      </c>
      <c r="F88" s="100" t="e">
        <f t="shared" si="14"/>
        <v>#REF!</v>
      </c>
    </row>
    <row r="89" spans="1:7" ht="16.95" customHeight="1" x14ac:dyDescent="0.35">
      <c r="A89" s="67" t="s">
        <v>54</v>
      </c>
      <c r="B89" s="74">
        <f t="shared" si="15"/>
        <v>2421</v>
      </c>
      <c r="C89" s="71" t="e">
        <f>'Додаток 1 (форма плану)'!#REF!+'Додаток 1 (форма плану)'!#REF!+'Додаток 1 (форма плану)'!#REF!+'Додаток 1 (форма плану)'!#REF!</f>
        <v>#REF!</v>
      </c>
      <c r="D89" s="73"/>
      <c r="E89" s="100" t="e">
        <f t="shared" si="13"/>
        <v>#REF!</v>
      </c>
      <c r="F89" s="100" t="e">
        <f t="shared" si="14"/>
        <v>#REF!</v>
      </c>
    </row>
    <row r="90" spans="1:7" ht="16.95" customHeight="1" x14ac:dyDescent="0.35">
      <c r="A90" s="67" t="s">
        <v>132</v>
      </c>
      <c r="B90" s="74">
        <v>2422</v>
      </c>
      <c r="C90" s="71" t="e">
        <f>'Додаток 1 (форма плану)'!#REF!+'Додаток 1 (форма плану)'!#REF!+'Додаток 1 (форма плану)'!#REF!+'Додаток 1 (форма плану)'!#REF!</f>
        <v>#REF!</v>
      </c>
      <c r="D90" s="73">
        <v>1797578.27</v>
      </c>
      <c r="E90" s="100" t="e">
        <f t="shared" si="13"/>
        <v>#REF!</v>
      </c>
      <c r="F90" s="100" t="e">
        <f t="shared" si="14"/>
        <v>#REF!</v>
      </c>
    </row>
    <row r="91" spans="1:7" ht="16.95" customHeight="1" x14ac:dyDescent="0.35">
      <c r="A91" s="67" t="s">
        <v>55</v>
      </c>
      <c r="B91" s="74">
        <v>2423</v>
      </c>
      <c r="C91" s="71" t="e">
        <f>'Додаток 1 (форма плану)'!#REF!+'Додаток 1 (форма плану)'!#REF!+'Додаток 1 (форма плану)'!#REF!+'Додаток 1 (форма плану)'!#REF!</f>
        <v>#REF!</v>
      </c>
      <c r="D91" s="73"/>
      <c r="E91" s="100" t="e">
        <f t="shared" si="13"/>
        <v>#REF!</v>
      </c>
      <c r="F91" s="100" t="e">
        <f t="shared" si="14"/>
        <v>#REF!</v>
      </c>
    </row>
    <row r="92" spans="1:7" ht="16.95" customHeight="1" x14ac:dyDescent="0.35">
      <c r="A92" s="76" t="s">
        <v>43</v>
      </c>
      <c r="B92" s="77">
        <f>B72+100</f>
        <v>2430</v>
      </c>
      <c r="C92" s="71" t="e">
        <f>'Додаток 1 (форма плану)'!#REF!+'Додаток 1 (форма плану)'!#REF!+'Додаток 1 (форма плану)'!#REF!+'Додаток 1 (форма плану)'!#REF!</f>
        <v>#REF!</v>
      </c>
      <c r="D92" s="78">
        <f t="shared" ref="D92" si="16">D93+D94+D95+D96</f>
        <v>0</v>
      </c>
      <c r="E92" s="100" t="e">
        <f t="shared" si="13"/>
        <v>#REF!</v>
      </c>
      <c r="F92" s="100" t="e">
        <f t="shared" si="14"/>
        <v>#REF!</v>
      </c>
    </row>
    <row r="93" spans="1:7" ht="31.2" x14ac:dyDescent="0.35">
      <c r="A93" s="75" t="s">
        <v>56</v>
      </c>
      <c r="B93" s="74">
        <v>2431</v>
      </c>
      <c r="C93" s="71" t="e">
        <f>'Додаток 1 (форма плану)'!#REF!+'Додаток 1 (форма плану)'!#REF!+'Додаток 1 (форма плану)'!#REF!+'Додаток 1 (форма плану)'!#REF!</f>
        <v>#REF!</v>
      </c>
      <c r="D93" s="73"/>
      <c r="E93" s="100" t="e">
        <f t="shared" si="13"/>
        <v>#REF!</v>
      </c>
      <c r="F93" s="100" t="e">
        <f t="shared" si="14"/>
        <v>#REF!</v>
      </c>
    </row>
    <row r="94" spans="1:7" ht="16.95" customHeight="1" x14ac:dyDescent="0.35">
      <c r="A94" s="67" t="s">
        <v>57</v>
      </c>
      <c r="B94" s="74">
        <f t="shared" ref="B94:B96" si="17">B93+1</f>
        <v>2432</v>
      </c>
      <c r="C94" s="71" t="e">
        <f>'Додаток 1 (форма плану)'!#REF!+'Додаток 1 (форма плану)'!#REF!+'Додаток 1 (форма плану)'!#REF!+'Додаток 1 (форма плану)'!#REF!</f>
        <v>#REF!</v>
      </c>
      <c r="D94" s="73"/>
      <c r="E94" s="100" t="e">
        <f t="shared" si="13"/>
        <v>#REF!</v>
      </c>
      <c r="F94" s="100" t="e">
        <f t="shared" si="14"/>
        <v>#REF!</v>
      </c>
    </row>
    <row r="95" spans="1:7" ht="16.95" customHeight="1" x14ac:dyDescent="0.35">
      <c r="A95" s="67" t="s">
        <v>58</v>
      </c>
      <c r="B95" s="74">
        <f t="shared" si="17"/>
        <v>2433</v>
      </c>
      <c r="C95" s="71" t="e">
        <f>'Додаток 1 (форма плану)'!#REF!+'Додаток 1 (форма плану)'!#REF!+'Додаток 1 (форма плану)'!#REF!+'Додаток 1 (форма плану)'!#REF!</f>
        <v>#REF!</v>
      </c>
      <c r="D95" s="73"/>
      <c r="E95" s="100" t="e">
        <f t="shared" si="13"/>
        <v>#REF!</v>
      </c>
      <c r="F95" s="100" t="e">
        <f t="shared" si="14"/>
        <v>#REF!</v>
      </c>
      <c r="G95" s="84"/>
    </row>
    <row r="96" spans="1:7" ht="16.95" customHeight="1" x14ac:dyDescent="0.35">
      <c r="A96" s="67" t="s">
        <v>59</v>
      </c>
      <c r="B96" s="74">
        <f t="shared" si="17"/>
        <v>2434</v>
      </c>
      <c r="C96" s="71" t="e">
        <f>'Додаток 1 (форма плану)'!#REF!+'Додаток 1 (форма плану)'!#REF!+'Додаток 1 (форма плану)'!#REF!+'Додаток 1 (форма плану)'!#REF!</f>
        <v>#REF!</v>
      </c>
      <c r="D96" s="73"/>
      <c r="E96" s="100" t="e">
        <f t="shared" si="13"/>
        <v>#REF!</v>
      </c>
      <c r="F96" s="100" t="e">
        <f t="shared" si="14"/>
        <v>#REF!</v>
      </c>
    </row>
    <row r="97" spans="1:8" ht="16.95" customHeight="1" x14ac:dyDescent="0.35">
      <c r="A97" s="76" t="s">
        <v>87</v>
      </c>
      <c r="B97" s="77">
        <v>2440</v>
      </c>
      <c r="C97" s="71" t="e">
        <f>'Додаток 1 (форма плану)'!#REF!+'Додаток 1 (форма плану)'!#REF!+'Додаток 1 (форма плану)'!#REF!+'Додаток 1 (форма плану)'!#REF!</f>
        <v>#REF!</v>
      </c>
      <c r="D97" s="151">
        <f>1411677.07</f>
        <v>1411677.07</v>
      </c>
      <c r="E97" s="100" t="e">
        <f t="shared" si="13"/>
        <v>#REF!</v>
      </c>
      <c r="F97" s="100" t="e">
        <f t="shared" si="14"/>
        <v>#REF!</v>
      </c>
    </row>
    <row r="98" spans="1:8" ht="16.95" customHeight="1" x14ac:dyDescent="0.35">
      <c r="A98" s="76" t="s">
        <v>24</v>
      </c>
      <c r="B98" s="77">
        <v>2500</v>
      </c>
      <c r="C98" s="71">
        <f>'Додаток 1 (форма плану)'!C67+'Додаток 1 (форма плану)'!D67+'Додаток 1 (форма плану)'!E67+'Додаток 1 (форма плану)'!F67</f>
        <v>19597.912329697785</v>
      </c>
      <c r="D98" s="78">
        <f>D77+D67+D48+D29+D97</f>
        <v>48843030.059999995</v>
      </c>
      <c r="E98" s="100">
        <f t="shared" si="13"/>
        <v>-48823432.147670299</v>
      </c>
      <c r="F98" s="100">
        <f t="shared" si="14"/>
        <v>2492.2567893104351</v>
      </c>
      <c r="H98" s="68"/>
    </row>
    <row r="99" spans="1:8" ht="15" customHeight="1" x14ac:dyDescent="0.35">
      <c r="A99" s="257" t="s">
        <v>62</v>
      </c>
      <c r="B99" s="258"/>
      <c r="C99" s="258"/>
      <c r="D99" s="258"/>
      <c r="E99" s="258"/>
      <c r="F99" s="289"/>
    </row>
    <row r="100" spans="1:8" ht="23.4" customHeight="1" x14ac:dyDescent="0.35">
      <c r="A100" s="76" t="s">
        <v>25</v>
      </c>
      <c r="B100" s="81">
        <v>3000</v>
      </c>
      <c r="C100" s="82">
        <f>C27-C98</f>
        <v>2186.2949710579014</v>
      </c>
      <c r="D100" s="82">
        <f>D27-D98</f>
        <v>4397910.3800000027</v>
      </c>
      <c r="E100" s="82">
        <f>E27-E98</f>
        <v>-4395724.0850289464</v>
      </c>
      <c r="F100" s="112">
        <f t="shared" ref="F100:F101" si="18">(D100/C100)*100%</f>
        <v>2011.5814371891217</v>
      </c>
      <c r="G100" s="84"/>
    </row>
    <row r="101" spans="1:8" ht="17.399999999999999" customHeight="1" x14ac:dyDescent="0.35">
      <c r="A101" s="67" t="s">
        <v>26</v>
      </c>
      <c r="B101" s="19">
        <v>3100</v>
      </c>
      <c r="C101" s="136">
        <f t="shared" ref="C101:E101" si="19">C100-C102</f>
        <v>2186.2949710579014</v>
      </c>
      <c r="D101" s="136">
        <f t="shared" si="19"/>
        <v>4397910.3800000027</v>
      </c>
      <c r="E101" s="136">
        <f t="shared" si="19"/>
        <v>-4395724.0850289464</v>
      </c>
      <c r="F101" s="112">
        <f t="shared" si="18"/>
        <v>2011.5814371891217</v>
      </c>
      <c r="H101" s="68"/>
    </row>
    <row r="102" spans="1:8" ht="16.2" customHeight="1" x14ac:dyDescent="0.35">
      <c r="A102" s="113" t="s">
        <v>27</v>
      </c>
      <c r="B102" s="19">
        <v>3200</v>
      </c>
      <c r="C102" s="114"/>
      <c r="D102" s="115"/>
      <c r="E102" s="115"/>
      <c r="F102" s="115"/>
    </row>
    <row r="103" spans="1:8" ht="16.95" customHeight="1" x14ac:dyDescent="0.35">
      <c r="A103" s="257" t="s">
        <v>17</v>
      </c>
      <c r="B103" s="258"/>
      <c r="C103" s="258"/>
      <c r="D103" s="258"/>
      <c r="E103" s="258"/>
      <c r="F103" s="289"/>
      <c r="G103" s="84"/>
    </row>
    <row r="104" spans="1:8" ht="16.95" customHeight="1" x14ac:dyDescent="0.35">
      <c r="A104" s="116" t="s">
        <v>1</v>
      </c>
      <c r="B104" s="74">
        <v>4110</v>
      </c>
      <c r="C104" s="79" t="e">
        <f>'Додаток 1 (форма плану)'!#REF!+'Додаток 1 (форма плану)'!#REF!+'Додаток 1 (форма плану)'!#REF!</f>
        <v>#REF!</v>
      </c>
      <c r="D104" s="73" t="e">
        <f>C104</f>
        <v>#REF!</v>
      </c>
      <c r="E104" s="86" t="e">
        <f>C104-D104</f>
        <v>#REF!</v>
      </c>
      <c r="F104" s="112" t="e">
        <f t="shared" ref="F104:F112" si="20">(D104/C104)*100%</f>
        <v>#REF!</v>
      </c>
    </row>
    <row r="105" spans="1:8" x14ac:dyDescent="0.35">
      <c r="A105" s="116" t="s">
        <v>2</v>
      </c>
      <c r="B105" s="74">
        <v>4120</v>
      </c>
      <c r="C105" s="79" t="e">
        <f>'Додаток 1 (форма плану)'!#REF!+'Додаток 1 (форма плану)'!#REF!+'Додаток 1 (форма плану)'!#REF!+'Додаток 1 (форма плану)'!#REF!</f>
        <v>#REF!</v>
      </c>
      <c r="D105" s="73" t="e">
        <f>C105</f>
        <v>#REF!</v>
      </c>
      <c r="E105" s="86" t="e">
        <f t="shared" ref="E105:E110" si="21">C105-D105</f>
        <v>#REF!</v>
      </c>
      <c r="F105" s="112" t="e">
        <f t="shared" si="20"/>
        <v>#REF!</v>
      </c>
    </row>
    <row r="106" spans="1:8" x14ac:dyDescent="0.35">
      <c r="A106" s="116" t="s">
        <v>3</v>
      </c>
      <c r="B106" s="74">
        <v>4130</v>
      </c>
      <c r="C106" s="79" t="e">
        <f>'Додаток 1 (форма плану)'!#REF!+'Додаток 1 (форма плану)'!#REF!+'Додаток 1 (форма плану)'!#REF!+'Додаток 1 (форма плану)'!#REF!</f>
        <v>#REF!</v>
      </c>
      <c r="D106" s="73" t="e">
        <f t="shared" ref="D106:D110" si="22">C106</f>
        <v>#REF!</v>
      </c>
      <c r="E106" s="86" t="e">
        <f t="shared" si="21"/>
        <v>#REF!</v>
      </c>
      <c r="F106" s="112" t="e">
        <f t="shared" si="20"/>
        <v>#REF!</v>
      </c>
    </row>
    <row r="107" spans="1:8" ht="18" customHeight="1" x14ac:dyDescent="0.35">
      <c r="A107" s="116" t="s">
        <v>4</v>
      </c>
      <c r="B107" s="74">
        <v>4140</v>
      </c>
      <c r="C107" s="79" t="e">
        <f>'Додаток 1 (форма плану)'!#REF!+'Додаток 1 (форма плану)'!#REF!+'Додаток 1 (форма плану)'!#REF!+'Додаток 1 (форма плану)'!#REF!</f>
        <v>#REF!</v>
      </c>
      <c r="D107" s="73" t="e">
        <f t="shared" si="22"/>
        <v>#REF!</v>
      </c>
      <c r="E107" s="86" t="e">
        <f t="shared" si="21"/>
        <v>#REF!</v>
      </c>
      <c r="F107" s="112" t="e">
        <f t="shared" si="20"/>
        <v>#REF!</v>
      </c>
    </row>
    <row r="108" spans="1:8" ht="31.2" x14ac:dyDescent="0.35">
      <c r="A108" s="67" t="s">
        <v>5</v>
      </c>
      <c r="B108" s="74">
        <v>4150</v>
      </c>
      <c r="C108" s="79" t="e">
        <f>'Додаток 1 (форма плану)'!#REF!+'Додаток 1 (форма плану)'!#REF!+'Додаток 1 (форма плану)'!#REF!+'Додаток 1 (форма плану)'!#REF!</f>
        <v>#REF!</v>
      </c>
      <c r="D108" s="73" t="e">
        <f t="shared" si="22"/>
        <v>#REF!</v>
      </c>
      <c r="E108" s="86" t="e">
        <f t="shared" si="21"/>
        <v>#REF!</v>
      </c>
      <c r="F108" s="112" t="e">
        <f t="shared" si="20"/>
        <v>#REF!</v>
      </c>
    </row>
    <row r="109" spans="1:8" x14ac:dyDescent="0.35">
      <c r="A109" s="116" t="s">
        <v>18</v>
      </c>
      <c r="B109" s="74">
        <v>4160</v>
      </c>
      <c r="C109" s="79" t="e">
        <f>'Додаток 1 (форма плану)'!#REF!+'Додаток 1 (форма плану)'!#REF!+'Додаток 1 (форма плану)'!#REF!+'Додаток 1 (форма плану)'!#REF!</f>
        <v>#REF!</v>
      </c>
      <c r="D109" s="73" t="e">
        <f t="shared" si="22"/>
        <v>#REF!</v>
      </c>
      <c r="E109" s="86" t="e">
        <f t="shared" si="21"/>
        <v>#REF!</v>
      </c>
      <c r="F109" s="112" t="e">
        <f t="shared" si="20"/>
        <v>#REF!</v>
      </c>
    </row>
    <row r="110" spans="1:8" ht="24.6" customHeight="1" x14ac:dyDescent="0.35">
      <c r="A110" s="117" t="s">
        <v>6</v>
      </c>
      <c r="B110" s="110">
        <v>4200</v>
      </c>
      <c r="C110" s="79" t="e">
        <f>'Додаток 1 (форма плану)'!#REF!+'Додаток 1 (форма плану)'!#REF!+'Додаток 1 (форма плану)'!#REF!+'Додаток 1 (форма плану)'!#REF!</f>
        <v>#REF!</v>
      </c>
      <c r="D110" s="73" t="e">
        <f t="shared" si="22"/>
        <v>#REF!</v>
      </c>
      <c r="E110" s="86" t="e">
        <f t="shared" si="21"/>
        <v>#REF!</v>
      </c>
      <c r="F110" s="112" t="e">
        <f t="shared" si="20"/>
        <v>#REF!</v>
      </c>
    </row>
    <row r="111" spans="1:8" ht="16.95" customHeight="1" x14ac:dyDescent="0.35">
      <c r="A111" s="257" t="s">
        <v>40</v>
      </c>
      <c r="B111" s="258"/>
      <c r="C111" s="258"/>
      <c r="D111" s="258"/>
      <c r="E111" s="258"/>
      <c r="F111" s="289"/>
    </row>
    <row r="112" spans="1:8" ht="16.95" customHeight="1" x14ac:dyDescent="0.35">
      <c r="A112" s="119" t="s">
        <v>28</v>
      </c>
      <c r="B112" s="19">
        <v>5110</v>
      </c>
      <c r="C112" s="118" t="e">
        <f>'Додаток 1 (форма плану)'!#REF!+'Додаток 1 (форма плану)'!#REF!+'Додаток 1 (форма плану)'!#REF!+'Додаток 1 (форма плану)'!#REF!</f>
        <v>#REF!</v>
      </c>
      <c r="D112" s="118">
        <f>D79+D50+D31</f>
        <v>25973520.370000001</v>
      </c>
      <c r="E112" s="111" t="e">
        <f>E39-E110</f>
        <v>#VALUE!</v>
      </c>
      <c r="F112" s="112" t="e">
        <f t="shared" si="20"/>
        <v>#REF!</v>
      </c>
    </row>
    <row r="113" spans="1:6" ht="16.95" customHeight="1" x14ac:dyDescent="0.35">
      <c r="A113" s="120" t="s">
        <v>29</v>
      </c>
      <c r="B113" s="87">
        <v>5120</v>
      </c>
      <c r="C113" s="137" t="e">
        <f>C112/C115/12</f>
        <v>#REF!</v>
      </c>
      <c r="D113" s="137">
        <f>D112/D115/12</f>
        <v>13078.308343403827</v>
      </c>
      <c r="E113" s="121" t="e">
        <f t="shared" ref="E113:F113" si="23">E112/E115/3</f>
        <v>#VALUE!</v>
      </c>
      <c r="F113" s="121" t="e">
        <f t="shared" si="23"/>
        <v>#REF!</v>
      </c>
    </row>
    <row r="114" spans="1:6" ht="16.95" customHeight="1" x14ac:dyDescent="0.35">
      <c r="A114" s="88"/>
      <c r="B114" s="88"/>
      <c r="C114" s="19" t="s">
        <v>30</v>
      </c>
      <c r="D114" s="89" t="s">
        <v>31</v>
      </c>
      <c r="E114" s="89"/>
      <c r="F114" s="89"/>
    </row>
    <row r="115" spans="1:6" x14ac:dyDescent="0.35">
      <c r="A115" s="122" t="s">
        <v>19</v>
      </c>
      <c r="B115" s="72">
        <v>5130</v>
      </c>
      <c r="C115" s="123">
        <v>165.5</v>
      </c>
      <c r="D115" s="124">
        <v>165.5</v>
      </c>
      <c r="E115" s="124"/>
      <c r="F115" s="124"/>
    </row>
    <row r="116" spans="1:6" x14ac:dyDescent="0.35">
      <c r="A116" s="67" t="s">
        <v>20</v>
      </c>
      <c r="B116" s="74">
        <v>5140</v>
      </c>
      <c r="C116" s="79">
        <v>24904.3</v>
      </c>
      <c r="D116" s="73">
        <v>24904.3</v>
      </c>
      <c r="E116" s="115"/>
      <c r="F116" s="115"/>
    </row>
    <row r="117" spans="1:6" ht="18.600000000000001" customHeight="1" x14ac:dyDescent="0.35">
      <c r="A117" s="125"/>
      <c r="B117" s="85"/>
      <c r="C117" s="126"/>
      <c r="D117" s="127"/>
      <c r="E117" s="127"/>
      <c r="F117" s="127"/>
    </row>
    <row r="118" spans="1:6" ht="21.75" customHeight="1" x14ac:dyDescent="0.35">
      <c r="A118" s="128" t="s">
        <v>88</v>
      </c>
      <c r="B118" s="129"/>
      <c r="C118" s="130"/>
      <c r="E118" s="133" t="s">
        <v>141</v>
      </c>
    </row>
    <row r="119" spans="1:6" x14ac:dyDescent="0.35">
      <c r="A119" s="128"/>
      <c r="B119" s="129"/>
      <c r="C119" s="140"/>
    </row>
    <row r="120" spans="1:6" ht="13.95" customHeight="1" x14ac:dyDescent="0.35"/>
    <row r="121" spans="1:6" ht="13.95" customHeight="1" x14ac:dyDescent="0.35"/>
    <row r="122" spans="1:6" x14ac:dyDescent="0.35">
      <c r="A122" s="90"/>
      <c r="B122" s="90"/>
      <c r="C122" s="132"/>
      <c r="D122" s="132"/>
      <c r="E122" s="132"/>
    </row>
    <row r="123" spans="1:6" x14ac:dyDescent="0.35">
      <c r="A123" s="90"/>
      <c r="B123" s="90"/>
      <c r="C123" s="132"/>
      <c r="D123" s="132"/>
      <c r="E123" s="132"/>
    </row>
    <row r="124" spans="1:6" x14ac:dyDescent="0.35">
      <c r="A124" s="90"/>
      <c r="B124" s="90"/>
      <c r="C124" s="132"/>
      <c r="D124" s="132"/>
      <c r="E124" s="132"/>
    </row>
    <row r="125" spans="1:6" x14ac:dyDescent="0.35">
      <c r="A125" s="90"/>
      <c r="B125" s="90"/>
      <c r="C125" s="132"/>
      <c r="D125" s="132"/>
      <c r="E125" s="132"/>
    </row>
    <row r="126" spans="1:6" x14ac:dyDescent="0.35">
      <c r="A126" s="90"/>
      <c r="B126" s="90"/>
      <c r="C126" s="132"/>
      <c r="D126" s="132"/>
      <c r="E126" s="132"/>
    </row>
    <row r="127" spans="1:6" x14ac:dyDescent="0.35">
      <c r="A127" s="90"/>
      <c r="B127" s="90"/>
      <c r="C127" s="132"/>
      <c r="D127" s="132"/>
      <c r="E127" s="132"/>
    </row>
  </sheetData>
  <mergeCells count="13">
    <mergeCell ref="A6:F6"/>
    <mergeCell ref="A8:A9"/>
    <mergeCell ref="B8:B9"/>
    <mergeCell ref="C8:F8"/>
    <mergeCell ref="C2:F2"/>
    <mergeCell ref="A3:F3"/>
    <mergeCell ref="A4:F4"/>
    <mergeCell ref="A5:F5"/>
    <mergeCell ref="A11:F11"/>
    <mergeCell ref="A28:F28"/>
    <mergeCell ref="A99:F99"/>
    <mergeCell ref="A103:F103"/>
    <mergeCell ref="A111:F11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opLeftCell="A23" zoomScaleNormal="100" workbookViewId="0">
      <selection sqref="A1:D26"/>
    </sheetView>
  </sheetViews>
  <sheetFormatPr defaultRowHeight="14.4" x14ac:dyDescent="0.3"/>
  <cols>
    <col min="1" max="1" width="45.44140625" customWidth="1"/>
    <col min="2" max="2" width="18.6640625" customWidth="1"/>
    <col min="3" max="3" width="18.88671875" customWidth="1"/>
    <col min="4" max="4" width="17.5546875" customWidth="1"/>
  </cols>
  <sheetData>
    <row r="1" spans="1:4" ht="163.19999999999999" x14ac:dyDescent="0.3">
      <c r="A1" s="37" t="s">
        <v>117</v>
      </c>
      <c r="B1" s="38" t="s">
        <v>118</v>
      </c>
      <c r="C1" s="38" t="s">
        <v>119</v>
      </c>
      <c r="D1" s="38" t="s">
        <v>120</v>
      </c>
    </row>
    <row r="2" spans="1:4" ht="15.6" x14ac:dyDescent="0.3">
      <c r="A2" s="55">
        <v>0</v>
      </c>
      <c r="B2" s="56">
        <v>0.1</v>
      </c>
      <c r="C2" s="55">
        <v>0.2</v>
      </c>
      <c r="D2" s="56">
        <v>0.3</v>
      </c>
    </row>
    <row r="3" spans="1:4" ht="36" customHeight="1" x14ac:dyDescent="0.3">
      <c r="A3" s="39" t="s">
        <v>121</v>
      </c>
      <c r="B3" s="40"/>
      <c r="C3" s="41"/>
      <c r="D3" s="42">
        <f>SUM($E$17:$E$69)</f>
        <v>0</v>
      </c>
    </row>
    <row r="4" spans="1:4" ht="15.6" x14ac:dyDescent="0.3">
      <c r="A4" s="43" t="s">
        <v>142</v>
      </c>
      <c r="B4" s="44">
        <v>10</v>
      </c>
      <c r="C4" s="45">
        <v>7398.5</v>
      </c>
      <c r="D4" s="46">
        <f t="shared" ref="D4:D17" si="0">IFERROR(B4*C4,)</f>
        <v>73985</v>
      </c>
    </row>
    <row r="5" spans="1:4" ht="31.2" x14ac:dyDescent="0.3">
      <c r="A5" s="43" t="s">
        <v>155</v>
      </c>
      <c r="B5" s="44">
        <v>1</v>
      </c>
      <c r="C5" s="45">
        <v>39600</v>
      </c>
      <c r="D5" s="46">
        <f t="shared" si="0"/>
        <v>39600</v>
      </c>
    </row>
    <row r="6" spans="1:4" ht="15.6" x14ac:dyDescent="0.3">
      <c r="A6" s="43" t="s">
        <v>143</v>
      </c>
      <c r="B6" s="44">
        <v>1</v>
      </c>
      <c r="C6" s="45">
        <v>135625</v>
      </c>
      <c r="D6" s="46">
        <f t="shared" si="0"/>
        <v>135625</v>
      </c>
    </row>
    <row r="7" spans="1:4" ht="15.6" x14ac:dyDescent="0.3">
      <c r="A7" s="43" t="s">
        <v>144</v>
      </c>
      <c r="B7" s="44">
        <v>8</v>
      </c>
      <c r="C7" s="45">
        <v>8062</v>
      </c>
      <c r="D7" s="46">
        <f t="shared" si="0"/>
        <v>64496</v>
      </c>
    </row>
    <row r="8" spans="1:4" ht="15.6" x14ac:dyDescent="0.3">
      <c r="A8" s="43" t="s">
        <v>145</v>
      </c>
      <c r="B8" s="44">
        <v>5</v>
      </c>
      <c r="C8" s="45">
        <v>3149</v>
      </c>
      <c r="D8" s="46">
        <f t="shared" si="0"/>
        <v>15745</v>
      </c>
    </row>
    <row r="9" spans="1:4" ht="15.6" x14ac:dyDescent="0.3">
      <c r="A9" s="43" t="s">
        <v>146</v>
      </c>
      <c r="B9" s="44">
        <v>23</v>
      </c>
      <c r="C9" s="45">
        <v>2993.2173899999998</v>
      </c>
      <c r="D9" s="46">
        <f t="shared" si="0"/>
        <v>68843.99996999999</v>
      </c>
    </row>
    <row r="10" spans="1:4" ht="15.6" x14ac:dyDescent="0.3">
      <c r="A10" s="43" t="s">
        <v>160</v>
      </c>
      <c r="B10" s="44">
        <v>2</v>
      </c>
      <c r="C10" s="45">
        <v>1250</v>
      </c>
      <c r="D10" s="46">
        <f t="shared" si="0"/>
        <v>2500</v>
      </c>
    </row>
    <row r="11" spans="1:4" ht="15.6" x14ac:dyDescent="0.3">
      <c r="A11" s="43" t="s">
        <v>159</v>
      </c>
      <c r="B11" s="44">
        <v>8</v>
      </c>
      <c r="C11" s="45">
        <v>3808.5</v>
      </c>
      <c r="D11" s="46">
        <f t="shared" si="0"/>
        <v>30468</v>
      </c>
    </row>
    <row r="12" spans="1:4" ht="15.6" x14ac:dyDescent="0.3">
      <c r="A12" s="43" t="s">
        <v>161</v>
      </c>
      <c r="B12" s="44">
        <v>6</v>
      </c>
      <c r="C12" s="45">
        <v>3500</v>
      </c>
      <c r="D12" s="46">
        <f t="shared" si="0"/>
        <v>21000</v>
      </c>
    </row>
    <row r="13" spans="1:4" ht="15.6" x14ac:dyDescent="0.3">
      <c r="A13" s="43" t="s">
        <v>162</v>
      </c>
      <c r="B13" s="44">
        <v>10</v>
      </c>
      <c r="C13" s="45">
        <v>1350</v>
      </c>
      <c r="D13" s="46">
        <f t="shared" si="0"/>
        <v>13500</v>
      </c>
    </row>
    <row r="14" spans="1:4" ht="15.6" x14ac:dyDescent="0.3">
      <c r="A14" s="43" t="s">
        <v>163</v>
      </c>
      <c r="B14" s="44">
        <v>16</v>
      </c>
      <c r="C14" s="45">
        <v>1890</v>
      </c>
      <c r="D14" s="46">
        <f t="shared" si="0"/>
        <v>30240</v>
      </c>
    </row>
    <row r="15" spans="1:4" ht="15.6" x14ac:dyDescent="0.3">
      <c r="A15" s="43" t="s">
        <v>164</v>
      </c>
      <c r="B15" s="44">
        <v>2</v>
      </c>
      <c r="C15" s="45">
        <v>2100</v>
      </c>
      <c r="D15" s="46">
        <f t="shared" si="0"/>
        <v>4200</v>
      </c>
    </row>
    <row r="16" spans="1:4" ht="15.6" customHeight="1" x14ac:dyDescent="0.3">
      <c r="A16" s="43" t="s">
        <v>147</v>
      </c>
      <c r="B16" s="44">
        <v>5</v>
      </c>
      <c r="C16" s="45">
        <v>2999</v>
      </c>
      <c r="D16" s="46">
        <f t="shared" si="0"/>
        <v>14995</v>
      </c>
    </row>
    <row r="17" spans="1:4" ht="31.2" x14ac:dyDescent="0.3">
      <c r="A17" s="43" t="s">
        <v>148</v>
      </c>
      <c r="B17" s="44">
        <v>1</v>
      </c>
      <c r="C17" s="45">
        <v>4968.75</v>
      </c>
      <c r="D17" s="46">
        <f t="shared" si="0"/>
        <v>4968.75</v>
      </c>
    </row>
    <row r="18" spans="1:4" ht="31.2" x14ac:dyDescent="0.3">
      <c r="A18" s="43" t="s">
        <v>149</v>
      </c>
      <c r="B18" s="44">
        <v>1</v>
      </c>
      <c r="C18" s="45">
        <v>4968.75</v>
      </c>
      <c r="D18" s="46">
        <f t="shared" ref="D18" si="1">IFERROR(B18*C18,)</f>
        <v>4968.75</v>
      </c>
    </row>
    <row r="19" spans="1:4" ht="15.6" x14ac:dyDescent="0.3">
      <c r="A19" s="43" t="s">
        <v>150</v>
      </c>
      <c r="B19" s="44">
        <v>10</v>
      </c>
      <c r="C19" s="45">
        <v>1534</v>
      </c>
      <c r="D19" s="46">
        <f t="shared" ref="D19:D22" si="2">IFERROR(B19*C19,)</f>
        <v>15340</v>
      </c>
    </row>
    <row r="20" spans="1:4" ht="15.6" x14ac:dyDescent="0.3">
      <c r="A20" s="43" t="s">
        <v>165</v>
      </c>
      <c r="B20" s="44">
        <v>1</v>
      </c>
      <c r="C20" s="45">
        <v>96700</v>
      </c>
      <c r="D20" s="46">
        <f t="shared" si="2"/>
        <v>96700</v>
      </c>
    </row>
    <row r="21" spans="1:4" ht="15.6" x14ac:dyDescent="0.3">
      <c r="A21" s="43" t="s">
        <v>166</v>
      </c>
      <c r="B21" s="44">
        <v>2</v>
      </c>
      <c r="C21" s="45">
        <v>265000</v>
      </c>
      <c r="D21" s="46">
        <f t="shared" si="2"/>
        <v>530000</v>
      </c>
    </row>
    <row r="22" spans="1:4" ht="15.6" x14ac:dyDescent="0.3">
      <c r="A22" s="43" t="s">
        <v>167</v>
      </c>
      <c r="B22" s="44">
        <v>1</v>
      </c>
      <c r="C22" s="45">
        <v>50000</v>
      </c>
      <c r="D22" s="46">
        <f t="shared" si="2"/>
        <v>50000</v>
      </c>
    </row>
    <row r="23" spans="1:4" ht="46.8" x14ac:dyDescent="0.3">
      <c r="A23" s="43" t="s">
        <v>151</v>
      </c>
      <c r="B23" s="44">
        <v>925</v>
      </c>
      <c r="C23" s="45">
        <v>65.138800000000003</v>
      </c>
      <c r="D23" s="46">
        <f>IFERROR(B23*C23,)</f>
        <v>60253.390000000007</v>
      </c>
    </row>
    <row r="24" spans="1:4" ht="31.2" x14ac:dyDescent="0.3">
      <c r="A24" s="43" t="s">
        <v>152</v>
      </c>
      <c r="B24" s="44">
        <v>3492</v>
      </c>
      <c r="C24" s="45">
        <v>97.038460000000001</v>
      </c>
      <c r="D24" s="46">
        <f t="shared" ref="D24:D46" si="3">IFERROR(B24*C24,)</f>
        <v>338858.30232000002</v>
      </c>
    </row>
    <row r="25" spans="1:4" ht="46.8" x14ac:dyDescent="0.3">
      <c r="A25" s="43" t="s">
        <v>153</v>
      </c>
      <c r="B25" s="44">
        <v>300</v>
      </c>
      <c r="C25" s="45">
        <v>28.38</v>
      </c>
      <c r="D25" s="46">
        <f t="shared" si="3"/>
        <v>8514</v>
      </c>
    </row>
    <row r="26" spans="1:4" ht="109.2" x14ac:dyDescent="0.3">
      <c r="A26" s="43" t="s">
        <v>154</v>
      </c>
      <c r="B26" s="44">
        <v>66730</v>
      </c>
      <c r="C26" s="45">
        <v>6.6407906490000004</v>
      </c>
      <c r="D26" s="46">
        <f t="shared" si="3"/>
        <v>443139.96000777005</v>
      </c>
    </row>
    <row r="27" spans="1:4" ht="15.6" x14ac:dyDescent="0.3">
      <c r="A27" s="49"/>
      <c r="B27" s="44"/>
      <c r="C27" s="45"/>
      <c r="D27" s="46">
        <f t="shared" si="3"/>
        <v>0</v>
      </c>
    </row>
    <row r="28" spans="1:4" ht="15.6" x14ac:dyDescent="0.3">
      <c r="A28" s="49"/>
      <c r="B28" s="44"/>
      <c r="C28" s="45"/>
      <c r="D28" s="46">
        <f t="shared" si="3"/>
        <v>0</v>
      </c>
    </row>
    <row r="29" spans="1:4" ht="15.6" x14ac:dyDescent="0.3">
      <c r="A29" s="49"/>
      <c r="B29" s="44"/>
      <c r="C29" s="45"/>
      <c r="D29" s="46">
        <f t="shared" si="3"/>
        <v>0</v>
      </c>
    </row>
    <row r="30" spans="1:4" ht="15.6" x14ac:dyDescent="0.3">
      <c r="A30" s="49"/>
      <c r="B30" s="44"/>
      <c r="C30" s="45"/>
      <c r="D30" s="46">
        <f t="shared" si="3"/>
        <v>0</v>
      </c>
    </row>
    <row r="31" spans="1:4" ht="15.6" x14ac:dyDescent="0.3">
      <c r="A31" s="49"/>
      <c r="B31" s="44"/>
      <c r="C31" s="45"/>
      <c r="D31" s="46">
        <f t="shared" si="3"/>
        <v>0</v>
      </c>
    </row>
    <row r="32" spans="1:4" ht="15.6" x14ac:dyDescent="0.3">
      <c r="A32" s="43"/>
      <c r="B32" s="44"/>
      <c r="C32" s="45"/>
      <c r="D32" s="46">
        <f t="shared" si="3"/>
        <v>0</v>
      </c>
    </row>
    <row r="33" spans="1:4" ht="15.6" x14ac:dyDescent="0.3">
      <c r="A33" s="43"/>
      <c r="B33" s="44"/>
      <c r="C33" s="45"/>
      <c r="D33" s="46">
        <f t="shared" si="3"/>
        <v>0</v>
      </c>
    </row>
    <row r="34" spans="1:4" ht="15.6" x14ac:dyDescent="0.3">
      <c r="A34" s="43"/>
      <c r="B34" s="44"/>
      <c r="C34" s="45"/>
      <c r="D34" s="46">
        <f>IFERROR(B34*C34,)</f>
        <v>0</v>
      </c>
    </row>
    <row r="35" spans="1:4" ht="15.6" x14ac:dyDescent="0.3">
      <c r="A35" s="43"/>
      <c r="B35" s="44"/>
      <c r="C35" s="45"/>
      <c r="D35" s="46">
        <f t="shared" si="3"/>
        <v>0</v>
      </c>
    </row>
    <row r="36" spans="1:4" ht="15.6" x14ac:dyDescent="0.3">
      <c r="A36" s="43"/>
      <c r="B36" s="44"/>
      <c r="C36" s="45"/>
      <c r="D36" s="46">
        <f t="shared" si="3"/>
        <v>0</v>
      </c>
    </row>
    <row r="37" spans="1:4" ht="15.6" x14ac:dyDescent="0.3">
      <c r="A37" s="43"/>
      <c r="B37" s="44"/>
      <c r="C37" s="45"/>
      <c r="D37" s="46">
        <f t="shared" si="3"/>
        <v>0</v>
      </c>
    </row>
    <row r="38" spans="1:4" ht="15.6" x14ac:dyDescent="0.3">
      <c r="A38" s="43"/>
      <c r="B38" s="44"/>
      <c r="C38" s="45"/>
      <c r="D38" s="46">
        <f t="shared" si="3"/>
        <v>0</v>
      </c>
    </row>
    <row r="39" spans="1:4" ht="15.6" x14ac:dyDescent="0.3">
      <c r="A39" s="43"/>
      <c r="B39" s="44"/>
      <c r="C39" s="45"/>
      <c r="D39" s="46">
        <f>IFERROR(B39*C39,)</f>
        <v>0</v>
      </c>
    </row>
    <row r="40" spans="1:4" ht="15.6" x14ac:dyDescent="0.3">
      <c r="A40" s="43"/>
      <c r="B40" s="47"/>
      <c r="C40" s="47">
        <v>0</v>
      </c>
      <c r="D40" s="48"/>
    </row>
    <row r="41" spans="1:4" ht="15.6" x14ac:dyDescent="0.3">
      <c r="A41" s="49"/>
      <c r="B41" s="44"/>
      <c r="C41" s="45"/>
      <c r="D41" s="46">
        <f>IFERROR(B41*C41,)</f>
        <v>0</v>
      </c>
    </row>
    <row r="42" spans="1:4" ht="15.6" x14ac:dyDescent="0.3">
      <c r="A42" s="49"/>
      <c r="B42" s="44"/>
      <c r="C42" s="45"/>
      <c r="D42" s="46">
        <f>IFERROR(B42*C42,)</f>
        <v>0</v>
      </c>
    </row>
    <row r="43" spans="1:4" ht="15.6" x14ac:dyDescent="0.3">
      <c r="A43" s="49"/>
      <c r="B43" s="44"/>
      <c r="C43" s="45"/>
      <c r="D43" s="46">
        <f t="shared" si="3"/>
        <v>0</v>
      </c>
    </row>
    <row r="44" spans="1:4" ht="15.6" x14ac:dyDescent="0.3">
      <c r="A44" s="49"/>
      <c r="B44" s="44"/>
      <c r="C44" s="45"/>
      <c r="D44" s="46">
        <f t="shared" si="3"/>
        <v>0</v>
      </c>
    </row>
    <row r="45" spans="1:4" ht="15.6" x14ac:dyDescent="0.3">
      <c r="A45" s="49"/>
      <c r="B45" s="44"/>
      <c r="C45" s="45"/>
      <c r="D45" s="46">
        <f t="shared" si="3"/>
        <v>0</v>
      </c>
    </row>
    <row r="46" spans="1:4" ht="15.6" x14ac:dyDescent="0.3">
      <c r="A46" s="49"/>
      <c r="B46" s="44"/>
      <c r="C46" s="45"/>
      <c r="D46" s="46">
        <f t="shared" si="3"/>
        <v>0</v>
      </c>
    </row>
    <row r="47" spans="1:4" ht="15.6" x14ac:dyDescent="0.3">
      <c r="A47" s="43"/>
      <c r="B47" s="47"/>
      <c r="C47" s="47"/>
      <c r="D47" s="48"/>
    </row>
    <row r="48" spans="1:4" ht="15.6" x14ac:dyDescent="0.3">
      <c r="A48" s="49"/>
      <c r="B48" s="44"/>
      <c r="C48" s="45"/>
      <c r="D48" s="46">
        <f>IFERROR(B48*C48,)</f>
        <v>0</v>
      </c>
    </row>
    <row r="49" spans="1:4" ht="15.6" x14ac:dyDescent="0.3">
      <c r="A49" s="49"/>
      <c r="B49" s="44"/>
      <c r="C49" s="45"/>
      <c r="D49" s="46">
        <f t="shared" ref="D49:D53" si="4">IFERROR(B49*C49,)</f>
        <v>0</v>
      </c>
    </row>
    <row r="50" spans="1:4" ht="15.6" x14ac:dyDescent="0.3">
      <c r="A50" s="43"/>
      <c r="B50" s="44"/>
      <c r="C50" s="45"/>
      <c r="D50" s="46">
        <f t="shared" si="4"/>
        <v>0</v>
      </c>
    </row>
    <row r="51" spans="1:4" ht="15.6" x14ac:dyDescent="0.3">
      <c r="A51" s="43"/>
      <c r="B51" s="44"/>
      <c r="C51" s="45"/>
      <c r="D51" s="46">
        <f t="shared" si="4"/>
        <v>0</v>
      </c>
    </row>
    <row r="52" spans="1:4" ht="15.6" x14ac:dyDescent="0.3">
      <c r="A52" s="43"/>
      <c r="B52" s="44"/>
      <c r="C52" s="45"/>
      <c r="D52" s="46">
        <f t="shared" si="4"/>
        <v>0</v>
      </c>
    </row>
    <row r="53" spans="1:4" ht="15.6" x14ac:dyDescent="0.3">
      <c r="A53" s="43"/>
      <c r="B53" s="44"/>
      <c r="C53" s="45"/>
      <c r="D53" s="46">
        <f t="shared" si="4"/>
        <v>0</v>
      </c>
    </row>
    <row r="54" spans="1:4" ht="15.6" x14ac:dyDescent="0.3">
      <c r="A54" s="39"/>
      <c r="B54" s="50"/>
      <c r="C54" s="51"/>
      <c r="D54" s="42">
        <f>SUM($E$71:$E$83)</f>
        <v>0</v>
      </c>
    </row>
    <row r="55" spans="1:4" ht="15.6" x14ac:dyDescent="0.3">
      <c r="A55" s="43"/>
      <c r="B55" s="44"/>
      <c r="C55" s="45"/>
      <c r="D55" s="46">
        <f t="shared" ref="D55:D67" si="5">IFERROR(B55*C55,)</f>
        <v>0</v>
      </c>
    </row>
    <row r="56" spans="1:4" ht="15.6" x14ac:dyDescent="0.3">
      <c r="A56" s="43"/>
      <c r="B56" s="44"/>
      <c r="C56" s="45"/>
      <c r="D56" s="46">
        <f t="shared" si="5"/>
        <v>0</v>
      </c>
    </row>
    <row r="57" spans="1:4" ht="15.6" x14ac:dyDescent="0.3">
      <c r="A57" s="43"/>
      <c r="B57" s="44"/>
      <c r="C57" s="45"/>
      <c r="D57" s="46">
        <f t="shared" si="5"/>
        <v>0</v>
      </c>
    </row>
    <row r="58" spans="1:4" ht="15.6" x14ac:dyDescent="0.3">
      <c r="A58" s="43"/>
      <c r="B58" s="44"/>
      <c r="C58" s="45"/>
      <c r="D58" s="46">
        <f t="shared" si="5"/>
        <v>0</v>
      </c>
    </row>
    <row r="59" spans="1:4" ht="15.6" x14ac:dyDescent="0.3">
      <c r="A59" s="43"/>
      <c r="B59" s="44"/>
      <c r="C59" s="45"/>
      <c r="D59" s="46">
        <f t="shared" si="5"/>
        <v>0</v>
      </c>
    </row>
    <row r="60" spans="1:4" ht="15.6" x14ac:dyDescent="0.3">
      <c r="A60" s="43"/>
      <c r="B60" s="44"/>
      <c r="C60" s="45"/>
      <c r="D60" s="46">
        <f t="shared" si="5"/>
        <v>0</v>
      </c>
    </row>
    <row r="61" spans="1:4" ht="15.6" x14ac:dyDescent="0.3">
      <c r="A61" s="43"/>
      <c r="B61" s="44"/>
      <c r="C61" s="45"/>
      <c r="D61" s="46">
        <f t="shared" si="5"/>
        <v>0</v>
      </c>
    </row>
    <row r="62" spans="1:4" ht="15.6" x14ac:dyDescent="0.3">
      <c r="A62" s="43"/>
      <c r="B62" s="44"/>
      <c r="C62" s="45"/>
      <c r="D62" s="46">
        <f t="shared" si="5"/>
        <v>0</v>
      </c>
    </row>
    <row r="63" spans="1:4" ht="15.6" x14ac:dyDescent="0.3">
      <c r="A63" s="43"/>
      <c r="B63" s="44"/>
      <c r="C63" s="45"/>
      <c r="D63" s="46">
        <f t="shared" si="5"/>
        <v>0</v>
      </c>
    </row>
    <row r="64" spans="1:4" ht="15.6" x14ac:dyDescent="0.3">
      <c r="A64" s="43"/>
      <c r="B64" s="44"/>
      <c r="C64" s="45"/>
      <c r="D64" s="46">
        <f t="shared" si="5"/>
        <v>0</v>
      </c>
    </row>
    <row r="65" spans="1:4" ht="15.6" x14ac:dyDescent="0.3">
      <c r="A65" s="43"/>
      <c r="B65" s="44"/>
      <c r="C65" s="45"/>
      <c r="D65" s="46">
        <f t="shared" si="5"/>
        <v>0</v>
      </c>
    </row>
    <row r="66" spans="1:4" ht="15.6" x14ac:dyDescent="0.3">
      <c r="A66" s="43"/>
      <c r="B66" s="44"/>
      <c r="C66" s="45"/>
      <c r="D66" s="46">
        <f t="shared" si="5"/>
        <v>0</v>
      </c>
    </row>
    <row r="67" spans="1:4" ht="15.6" x14ac:dyDescent="0.3">
      <c r="A67" s="43"/>
      <c r="B67" s="44"/>
      <c r="C67" s="45"/>
      <c r="D67" s="46">
        <f t="shared" si="5"/>
        <v>0</v>
      </c>
    </row>
    <row r="68" spans="1:4" ht="15.6" x14ac:dyDescent="0.3">
      <c r="A68" s="39"/>
      <c r="B68" s="52"/>
      <c r="C68" s="53"/>
      <c r="D68" s="42">
        <f>SUM($E$85:$E$89)</f>
        <v>0</v>
      </c>
    </row>
    <row r="69" spans="1:4" ht="15.6" x14ac:dyDescent="0.3">
      <c r="A69" s="43"/>
      <c r="B69" s="44"/>
      <c r="C69" s="45"/>
      <c r="D69" s="46">
        <f>IFERROR(B69*C69,)</f>
        <v>0</v>
      </c>
    </row>
    <row r="70" spans="1:4" ht="15.6" x14ac:dyDescent="0.3">
      <c r="A70" s="43"/>
      <c r="B70" s="44"/>
      <c r="C70" s="45"/>
      <c r="D70" s="46">
        <f>IFERROR(B70*C70,)</f>
        <v>0</v>
      </c>
    </row>
    <row r="71" spans="1:4" ht="15.6" x14ac:dyDescent="0.3">
      <c r="A71" s="43"/>
      <c r="B71" s="44"/>
      <c r="C71" s="45"/>
      <c r="D71" s="46">
        <f>IFERROR(B71*C71,)</f>
        <v>0</v>
      </c>
    </row>
    <row r="72" spans="1:4" ht="15.6" x14ac:dyDescent="0.3">
      <c r="A72" s="43"/>
      <c r="B72" s="44">
        <v>0</v>
      </c>
      <c r="C72" s="45"/>
      <c r="D72" s="46">
        <f>IFERROR(B72*C72,)</f>
        <v>0</v>
      </c>
    </row>
    <row r="73" spans="1:4" ht="15.6" x14ac:dyDescent="0.3">
      <c r="A73" s="43"/>
      <c r="B73" s="44"/>
      <c r="C73" s="45"/>
      <c r="D73" s="46">
        <f>IFERROR(B73*C73,)</f>
        <v>0</v>
      </c>
    </row>
    <row r="74" spans="1:4" ht="15.6" x14ac:dyDescent="0.3">
      <c r="A74" s="54" t="s">
        <v>122</v>
      </c>
      <c r="B74" s="52"/>
      <c r="C74" s="53"/>
      <c r="D74" s="42">
        <f>SUM($E$91:$E$101)</f>
        <v>0</v>
      </c>
    </row>
    <row r="75" spans="1:4" ht="15.6" x14ac:dyDescent="0.3">
      <c r="A75" s="43"/>
      <c r="B75" s="44"/>
      <c r="C75" s="45"/>
      <c r="D75" s="46">
        <f t="shared" ref="D75:D85" si="6">IFERROR(B75*C75,)</f>
        <v>0</v>
      </c>
    </row>
    <row r="76" spans="1:4" ht="15.6" x14ac:dyDescent="0.3">
      <c r="A76" s="43"/>
      <c r="B76" s="44"/>
      <c r="C76" s="45"/>
      <c r="D76" s="46">
        <f t="shared" si="6"/>
        <v>0</v>
      </c>
    </row>
    <row r="77" spans="1:4" ht="15.6" x14ac:dyDescent="0.3">
      <c r="A77" s="43"/>
      <c r="B77" s="44"/>
      <c r="C77" s="45"/>
      <c r="D77" s="46">
        <f t="shared" si="6"/>
        <v>0</v>
      </c>
    </row>
    <row r="78" spans="1:4" ht="15.6" x14ac:dyDescent="0.3">
      <c r="A78" s="43"/>
      <c r="B78" s="44"/>
      <c r="C78" s="45"/>
      <c r="D78" s="46">
        <f t="shared" si="6"/>
        <v>0</v>
      </c>
    </row>
    <row r="79" spans="1:4" ht="15.6" x14ac:dyDescent="0.3">
      <c r="A79" s="43"/>
      <c r="B79" s="44"/>
      <c r="C79" s="45"/>
      <c r="D79" s="46">
        <f t="shared" si="6"/>
        <v>0</v>
      </c>
    </row>
    <row r="80" spans="1:4" ht="15.6" x14ac:dyDescent="0.3">
      <c r="A80" s="43"/>
      <c r="B80" s="44"/>
      <c r="C80" s="45"/>
      <c r="D80" s="46">
        <f t="shared" si="6"/>
        <v>0</v>
      </c>
    </row>
    <row r="81" spans="1:4" ht="15.6" x14ac:dyDescent="0.3">
      <c r="A81" s="43"/>
      <c r="B81" s="44"/>
      <c r="C81" s="45"/>
      <c r="D81" s="46">
        <f t="shared" si="6"/>
        <v>0</v>
      </c>
    </row>
    <row r="82" spans="1:4" ht="15.6" x14ac:dyDescent="0.3">
      <c r="A82" s="43"/>
      <c r="B82" s="44"/>
      <c r="C82" s="45"/>
      <c r="D82" s="46">
        <f t="shared" si="6"/>
        <v>0</v>
      </c>
    </row>
    <row r="83" spans="1:4" ht="15.6" x14ac:dyDescent="0.3">
      <c r="A83" s="43"/>
      <c r="B83" s="44"/>
      <c r="C83" s="45"/>
      <c r="D83" s="46">
        <f t="shared" si="6"/>
        <v>0</v>
      </c>
    </row>
    <row r="84" spans="1:4" ht="15.6" x14ac:dyDescent="0.3">
      <c r="A84" s="43"/>
      <c r="B84" s="44"/>
      <c r="C84" s="45"/>
      <c r="D84" s="46">
        <f t="shared" si="6"/>
        <v>0</v>
      </c>
    </row>
    <row r="85" spans="1:4" ht="15.6" x14ac:dyDescent="0.3">
      <c r="A85" s="43"/>
      <c r="B85" s="44"/>
      <c r="C85" s="45"/>
      <c r="D85" s="46">
        <f t="shared" si="6"/>
        <v>0</v>
      </c>
    </row>
  </sheetData>
  <protectedRanges>
    <protectedRange sqref="A75:A85" name="Найменування інші_2"/>
    <protectedRange sqref="C41:C46 C48:C53 C55:C67 C69:C73 C75:C85 C4:C39" name="Оціночна вартість_2"/>
  </protectedRanges>
  <dataValidations count="1">
    <dataValidation type="decimal" operator="greaterThanOrEqual" allowBlank="1" showInputMessage="1" showErrorMessage="1" error="Розділення цілої та дробової частини числа має бути введено через крапку &quot;.&quot;_x000a_Наприклад: 23.10" sqref="C55:C67 C69:C73 C75:C85 C4:C5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Додаток 1 (форма плану)</vt:lpstr>
      <vt:lpstr>Аркуш1</vt:lpstr>
      <vt:lpstr>розрахунок доходів від НСЗУ </vt:lpstr>
      <vt:lpstr>Дані про персонал та зп</vt:lpstr>
      <vt:lpstr>фін звіт</vt:lpstr>
      <vt:lpstr>МТО</vt:lpstr>
      <vt:lpstr>'Додаток 1 (форма плану)'!Область_друку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Geo1</dc:creator>
  <cp:lastModifiedBy>GL-BUCHGALTER1</cp:lastModifiedBy>
  <cp:lastPrinted>2026-01-27T12:53:12Z</cp:lastPrinted>
  <dcterms:created xsi:type="dcterms:W3CDTF">2016-09-17T08:38:05Z</dcterms:created>
  <dcterms:modified xsi:type="dcterms:W3CDTF">2026-01-27T12:55:08Z</dcterms:modified>
</cp:coreProperties>
</file>